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erencia_Corporativa\Compartida\Estructuración\FF Secubono\Fideicomisos Financieros\Secubono 246\"/>
    </mc:Choice>
  </mc:AlternateContent>
  <xr:revisionPtr revIDLastSave="0" documentId="8_{E888BEB2-01C4-40E0-ACE7-734308CBE7B7}" xr6:coauthVersionLast="47" xr6:coauthVersionMax="47" xr10:uidLastSave="{00000000-0000-0000-0000-000000000000}"/>
  <bookViews>
    <workbookView xWindow="-28920" yWindow="-120" windowWidth="29040" windowHeight="15720" xr2:uid="{C612CEB4-13CB-44F9-B371-221142F3E66A}"/>
  </bookViews>
  <sheets>
    <sheet name="Calculadora" sheetId="1" r:id="rId1"/>
    <sheet name="Hoja1" sheetId="9" state="hidden" r:id="rId2"/>
    <sheet name="VDFA" sheetId="2" state="hidden" r:id="rId3"/>
    <sheet name="VDFB" sheetId="6" state="hidden" r:id="rId4"/>
    <sheet name="VDFC" sheetId="8" state="hidden" r:id="rId5"/>
    <sheet name="Feriados" sheetId="3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16" i="2"/>
  <c r="G11" i="8"/>
  <c r="G11" i="6" l="1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17" i="8"/>
  <c r="Z16" i="8"/>
  <c r="G59" i="6"/>
  <c r="AA16" i="6"/>
  <c r="U16" i="6"/>
  <c r="F16" i="2"/>
  <c r="G11" i="2"/>
  <c r="E16" i="8"/>
  <c r="E17" i="6"/>
  <c r="E16" i="6"/>
  <c r="M16" i="6"/>
  <c r="M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6" i="6"/>
  <c r="B47" i="6"/>
  <c r="B48" i="6"/>
  <c r="B49" i="6"/>
  <c r="B50" i="6"/>
  <c r="B17" i="6"/>
  <c r="T22" i="2"/>
  <c r="AE23" i="2" s="1"/>
  <c r="Q22" i="2"/>
  <c r="R22" i="2"/>
  <c r="S22" i="2" l="1"/>
  <c r="U22" i="2" l="1"/>
  <c r="V22" i="2"/>
  <c r="W22" i="2"/>
  <c r="H16" i="2" l="1"/>
  <c r="E15" i="1"/>
  <c r="H64" i="2" l="1"/>
  <c r="H65" i="2"/>
  <c r="AA17" i="6"/>
  <c r="S16" i="6"/>
  <c r="R21" i="2"/>
  <c r="Q21" i="2"/>
  <c r="D6" i="2"/>
  <c r="E58" i="2"/>
  <c r="E59" i="2"/>
  <c r="E60" i="2"/>
  <c r="E61" i="2"/>
  <c r="E62" i="2"/>
  <c r="E63" i="2"/>
  <c r="G63" i="2" s="1"/>
  <c r="K6" i="2"/>
  <c r="M6" i="8"/>
  <c r="E18" i="6"/>
  <c r="F59" i="6"/>
  <c r="F57" i="2"/>
  <c r="L16" i="2"/>
  <c r="L17" i="2"/>
  <c r="L14" i="2"/>
  <c r="B51" i="2"/>
  <c r="L22" i="2"/>
  <c r="E23" i="2" l="1"/>
  <c r="E24" i="2" s="1"/>
  <c r="E25" i="2" s="1"/>
  <c r="E26" i="2" s="1"/>
  <c r="E27" i="2" s="1"/>
  <c r="E28" i="2" s="1"/>
  <c r="E29" i="2" s="1"/>
  <c r="E30" i="2" s="1"/>
  <c r="E31" i="2" s="1"/>
  <c r="E64" i="2"/>
  <c r="G64" i="2" l="1"/>
  <c r="D59" i="6"/>
  <c r="E61" i="8" s="1"/>
  <c r="E65" i="2"/>
  <c r="R17" i="2"/>
  <c r="R18" i="2"/>
  <c r="R19" i="2"/>
  <c r="R20" i="2"/>
  <c r="R16" i="2"/>
  <c r="T16" i="8"/>
  <c r="E19" i="6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D60" i="6" l="1"/>
  <c r="E62" i="8" s="1"/>
  <c r="G65" i="2"/>
  <c r="AF14" i="2"/>
  <c r="AE14" i="2" s="1"/>
  <c r="G61" i="8"/>
  <c r="U42" i="8"/>
  <c r="G8" i="8"/>
  <c r="F8" i="8"/>
  <c r="F60" i="6"/>
  <c r="E29" i="1"/>
  <c r="E30" i="1" s="1"/>
  <c r="L6" i="6"/>
  <c r="Z18" i="6"/>
  <c r="G8" i="6"/>
  <c r="F8" i="6"/>
  <c r="G58" i="2"/>
  <c r="G59" i="2"/>
  <c r="G60" i="2"/>
  <c r="G61" i="2"/>
  <c r="G62" i="2"/>
  <c r="G8" i="2"/>
  <c r="F8" i="2"/>
  <c r="D8" i="2"/>
  <c r="D7" i="2"/>
  <c r="D9" i="2" s="1"/>
  <c r="I24" i="1"/>
  <c r="I15" i="1" s="1"/>
  <c r="T42" i="6"/>
  <c r="L24" i="1" l="1"/>
  <c r="L15" i="1" s="1"/>
  <c r="I29" i="1"/>
  <c r="I30" i="1" s="1"/>
  <c r="D7" i="6"/>
  <c r="E17" i="8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L29" i="1" l="1"/>
  <c r="L30" i="1" s="1"/>
  <c r="D7" i="8"/>
  <c r="Q17" i="2"/>
  <c r="Q18" i="2" s="1"/>
  <c r="Q19" i="2" s="1"/>
  <c r="Q20" i="2" s="1"/>
  <c r="D9" i="8" l="1"/>
  <c r="D6" i="8"/>
  <c r="N28" i="8"/>
  <c r="N27" i="8"/>
  <c r="N26" i="8"/>
  <c r="N25" i="8"/>
  <c r="N24" i="8"/>
  <c r="N23" i="8"/>
  <c r="N22" i="8"/>
  <c r="N21" i="8"/>
  <c r="N20" i="8"/>
  <c r="N19" i="8"/>
  <c r="N18" i="8"/>
  <c r="N17" i="8"/>
  <c r="D17" i="8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N16" i="8"/>
  <c r="N14" i="8"/>
  <c r="D11" i="8"/>
  <c r="E15" i="8" s="1"/>
  <c r="D17" i="6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6" i="6"/>
  <c r="M14" i="6"/>
  <c r="D11" i="6"/>
  <c r="S14" i="6" s="1"/>
  <c r="T15" i="8" l="1"/>
  <c r="P9" i="8"/>
  <c r="L26" i="1" s="1"/>
  <c r="G60" i="8"/>
  <c r="X15" i="8"/>
  <c r="I15" i="8"/>
  <c r="Y16" i="8"/>
  <c r="Y42" i="8" s="1"/>
  <c r="M15" i="6"/>
  <c r="W15" i="6"/>
  <c r="W16" i="6" s="1"/>
  <c r="T14" i="8"/>
  <c r="J15" i="6"/>
  <c r="X16" i="6"/>
  <c r="E15" i="6"/>
  <c r="N10" i="6" s="1"/>
  <c r="I26" i="1" s="1"/>
  <c r="S15" i="6"/>
  <c r="N29" i="8"/>
  <c r="M18" i="6"/>
  <c r="D58" i="6" l="1"/>
  <c r="E60" i="8" s="1"/>
  <c r="L7" i="6"/>
  <c r="N14" i="6" s="1"/>
  <c r="F58" i="6"/>
  <c r="G60" i="6"/>
  <c r="K16" i="8"/>
  <c r="X16" i="8"/>
  <c r="X42" i="6"/>
  <c r="M19" i="6"/>
  <c r="M20" i="6" l="1"/>
  <c r="M21" i="6" l="1"/>
  <c r="M22" i="6" l="1"/>
  <c r="M23" i="6" l="1"/>
  <c r="M24" i="6" l="1"/>
  <c r="M25" i="6" l="1"/>
  <c r="M26" i="6" l="1"/>
  <c r="M27" i="6" l="1"/>
  <c r="M28" i="6" l="1"/>
  <c r="M29" i="6" l="1"/>
  <c r="I13" i="1" l="1"/>
  <c r="E15" i="2"/>
  <c r="M10" i="2" s="1"/>
  <c r="E26" i="1" s="1"/>
  <c r="E57" i="2" l="1"/>
  <c r="G57" i="2"/>
  <c r="L13" i="1"/>
  <c r="D17" i="2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11" i="2"/>
  <c r="R14" i="2" s="1"/>
  <c r="R15" i="2" s="1"/>
  <c r="K7" i="2" s="1"/>
  <c r="M14" i="2" s="1"/>
  <c r="T16" i="2" l="1"/>
  <c r="AG14" i="2"/>
  <c r="I15" i="2"/>
  <c r="AE17" i="2" l="1"/>
  <c r="S16" i="2"/>
  <c r="I16" i="2"/>
  <c r="AA18" i="6"/>
  <c r="V16" i="8" l="1"/>
  <c r="F17" i="2"/>
  <c r="V16" i="2"/>
  <c r="T17" i="2" s="1"/>
  <c r="W16" i="2"/>
  <c r="U16" i="2"/>
  <c r="L18" i="2"/>
  <c r="J16" i="2"/>
  <c r="M16" i="2"/>
  <c r="F58" i="2" l="1"/>
  <c r="H17" i="2"/>
  <c r="M17" i="2" s="1"/>
  <c r="J17" i="2"/>
  <c r="H58" i="2"/>
  <c r="AE18" i="2"/>
  <c r="S17" i="2"/>
  <c r="W16" i="8"/>
  <c r="M7" i="8" s="1"/>
  <c r="V42" i="8"/>
  <c r="I17" i="2"/>
  <c r="G18" i="2" s="1"/>
  <c r="L19" i="2"/>
  <c r="V17" i="2" l="1"/>
  <c r="W17" i="2"/>
  <c r="U17" i="2"/>
  <c r="F18" i="2"/>
  <c r="J18" i="2" s="1"/>
  <c r="F59" i="2"/>
  <c r="H61" i="8"/>
  <c r="L19" i="1"/>
  <c r="W42" i="8"/>
  <c r="L20" i="2"/>
  <c r="H59" i="2" l="1"/>
  <c r="T18" i="2"/>
  <c r="H18" i="2"/>
  <c r="I18" i="2"/>
  <c r="G19" i="2" s="1"/>
  <c r="O14" i="8"/>
  <c r="L21" i="2"/>
  <c r="F19" i="2" l="1"/>
  <c r="AE19" i="2"/>
  <c r="S18" i="2"/>
  <c r="V18" i="2" s="1"/>
  <c r="M18" i="2"/>
  <c r="H19" i="2" l="1"/>
  <c r="M19" i="2" s="1"/>
  <c r="J19" i="2"/>
  <c r="U18" i="2"/>
  <c r="W18" i="2"/>
  <c r="T19" i="2"/>
  <c r="F60" i="2"/>
  <c r="L23" i="2"/>
  <c r="H60" i="2" l="1"/>
  <c r="AE20" i="2"/>
  <c r="S19" i="2"/>
  <c r="I19" i="2"/>
  <c r="L24" i="2"/>
  <c r="G20" i="2" l="1"/>
  <c r="F20" i="2" s="1"/>
  <c r="W19" i="2"/>
  <c r="V19" i="2"/>
  <c r="U19" i="2"/>
  <c r="H61" i="2" s="1"/>
  <c r="L25" i="2"/>
  <c r="F61" i="2"/>
  <c r="H20" i="2" l="1"/>
  <c r="I20" i="2"/>
  <c r="G21" i="2" s="1"/>
  <c r="T20" i="2"/>
  <c r="J20" i="2"/>
  <c r="L26" i="2"/>
  <c r="AE21" i="2" l="1"/>
  <c r="S20" i="2"/>
  <c r="L27" i="2"/>
  <c r="F21" i="2"/>
  <c r="J21" i="2" s="1"/>
  <c r="W20" i="2" l="1"/>
  <c r="V20" i="2"/>
  <c r="U20" i="2"/>
  <c r="I21" i="2"/>
  <c r="H21" i="2"/>
  <c r="M20" i="2"/>
  <c r="L28" i="2"/>
  <c r="G22" i="2" l="1"/>
  <c r="F22" i="2" s="1"/>
  <c r="H22" i="2" s="1"/>
  <c r="M22" i="2" s="1"/>
  <c r="T21" i="2"/>
  <c r="H62" i="2"/>
  <c r="I22" i="2"/>
  <c r="G23" i="2" s="1"/>
  <c r="F23" i="2" s="1"/>
  <c r="J23" i="2" s="1"/>
  <c r="F62" i="2"/>
  <c r="L29" i="2"/>
  <c r="B16" i="6" l="1"/>
  <c r="J22" i="2"/>
  <c r="S21" i="2"/>
  <c r="AE22" i="2"/>
  <c r="H23" i="2"/>
  <c r="I23" i="2"/>
  <c r="G24" i="2" s="1"/>
  <c r="F24" i="2" s="1"/>
  <c r="J24" i="2" s="1"/>
  <c r="L30" i="2"/>
  <c r="M21" i="2"/>
  <c r="W21" i="2" l="1"/>
  <c r="U21" i="2"/>
  <c r="V21" i="2"/>
  <c r="F63" i="2"/>
  <c r="T42" i="2"/>
  <c r="H24" i="2"/>
  <c r="I24" i="2"/>
  <c r="M30" i="6"/>
  <c r="N30" i="8"/>
  <c r="E32" i="2"/>
  <c r="L31" i="2"/>
  <c r="H63" i="2" l="1"/>
  <c r="F64" i="2"/>
  <c r="S42" i="2"/>
  <c r="W42" i="2"/>
  <c r="M31" i="6"/>
  <c r="N31" i="8"/>
  <c r="M23" i="2"/>
  <c r="G25" i="2"/>
  <c r="F25" i="2" s="1"/>
  <c r="J25" i="2" s="1"/>
  <c r="L32" i="2"/>
  <c r="E33" i="2"/>
  <c r="F65" i="2" l="1"/>
  <c r="U42" i="2"/>
  <c r="H25" i="2"/>
  <c r="I25" i="2"/>
  <c r="N32" i="8"/>
  <c r="M32" i="6"/>
  <c r="M24" i="2"/>
  <c r="L33" i="2"/>
  <c r="E34" i="2"/>
  <c r="E31" i="1" l="1"/>
  <c r="H57" i="2" s="1"/>
  <c r="E32" i="1" s="1"/>
  <c r="E19" i="1"/>
  <c r="M33" i="6"/>
  <c r="N33" i="8"/>
  <c r="M25" i="2"/>
  <c r="K8" i="2" s="1"/>
  <c r="K9" i="2" s="1"/>
  <c r="K10" i="2" s="1"/>
  <c r="E35" i="2"/>
  <c r="L34" i="2"/>
  <c r="G26" i="2"/>
  <c r="F26" i="2" s="1"/>
  <c r="J26" i="2" s="1"/>
  <c r="H26" i="2" l="1"/>
  <c r="I26" i="2"/>
  <c r="N34" i="8"/>
  <c r="M34" i="6"/>
  <c r="L35" i="2"/>
  <c r="E36" i="2"/>
  <c r="E20" i="1" l="1"/>
  <c r="D9" i="6"/>
  <c r="H16" i="6" s="1"/>
  <c r="N35" i="8"/>
  <c r="M35" i="6"/>
  <c r="M26" i="2"/>
  <c r="G27" i="2"/>
  <c r="F27" i="2" s="1"/>
  <c r="J27" i="2" s="1"/>
  <c r="E37" i="2"/>
  <c r="L36" i="2"/>
  <c r="E21" i="1" l="1"/>
  <c r="E25" i="1" s="1"/>
  <c r="H27" i="2"/>
  <c r="M27" i="2" s="1"/>
  <c r="I27" i="2"/>
  <c r="G28" i="2" s="1"/>
  <c r="F28" i="2" s="1"/>
  <c r="M36" i="6"/>
  <c r="N36" i="8"/>
  <c r="E38" i="2"/>
  <c r="L37" i="2"/>
  <c r="V16" i="6" l="1"/>
  <c r="U42" i="6"/>
  <c r="F16" i="6"/>
  <c r="I16" i="6" s="1"/>
  <c r="H28" i="2"/>
  <c r="J28" i="2"/>
  <c r="I28" i="2"/>
  <c r="G29" i="2" s="1"/>
  <c r="F29" i="2" s="1"/>
  <c r="H29" i="2" s="1"/>
  <c r="L16" i="8"/>
  <c r="N37" i="8"/>
  <c r="M37" i="6"/>
  <c r="E39" i="2"/>
  <c r="L38" i="2"/>
  <c r="N16" i="6" l="1"/>
  <c r="B16" i="8"/>
  <c r="G16" i="8" s="1"/>
  <c r="E59" i="6"/>
  <c r="I31" i="1" s="1"/>
  <c r="G58" i="6" s="1"/>
  <c r="V42" i="6"/>
  <c r="J16" i="6"/>
  <c r="H17" i="6" s="1"/>
  <c r="K16" i="6"/>
  <c r="I29" i="2"/>
  <c r="G30" i="2" s="1"/>
  <c r="F30" i="2" s="1"/>
  <c r="H30" i="2" s="1"/>
  <c r="M28" i="2"/>
  <c r="M38" i="6"/>
  <c r="N38" i="8"/>
  <c r="E40" i="2"/>
  <c r="L39" i="2"/>
  <c r="I19" i="1" l="1"/>
  <c r="F17" i="6"/>
  <c r="I30" i="2"/>
  <c r="M29" i="2"/>
  <c r="N39" i="8"/>
  <c r="M39" i="6"/>
  <c r="L40" i="2"/>
  <c r="E41" i="2"/>
  <c r="M40" i="6" l="1"/>
  <c r="N40" i="8"/>
  <c r="M30" i="2"/>
  <c r="G31" i="2"/>
  <c r="F31" i="2" s="1"/>
  <c r="E42" i="2"/>
  <c r="L41" i="2"/>
  <c r="J17" i="6" l="1"/>
  <c r="H18" i="6" s="1"/>
  <c r="K17" i="6"/>
  <c r="I17" i="6"/>
  <c r="H31" i="2"/>
  <c r="I31" i="2"/>
  <c r="G32" i="2" s="1"/>
  <c r="F32" i="2" s="1"/>
  <c r="H32" i="2" s="1"/>
  <c r="N41" i="8"/>
  <c r="M41" i="6"/>
  <c r="E43" i="2"/>
  <c r="L42" i="2"/>
  <c r="F18" i="6" l="1"/>
  <c r="I18" i="6" s="1"/>
  <c r="N18" i="6" s="1"/>
  <c r="N17" i="6"/>
  <c r="F16" i="8"/>
  <c r="H16" i="8" s="1"/>
  <c r="I32" i="2"/>
  <c r="G33" i="2" s="1"/>
  <c r="F33" i="2" s="1"/>
  <c r="H33" i="2" s="1"/>
  <c r="M31" i="2"/>
  <c r="M42" i="6"/>
  <c r="N42" i="8"/>
  <c r="E44" i="2"/>
  <c r="L43" i="2"/>
  <c r="L8" i="6" l="1"/>
  <c r="L9" i="6" s="1"/>
  <c r="L10" i="6" s="1"/>
  <c r="O16" i="8"/>
  <c r="J16" i="8"/>
  <c r="I16" i="8"/>
  <c r="G17" i="8" s="1"/>
  <c r="I32" i="1"/>
  <c r="J18" i="6"/>
  <c r="F19" i="6" s="1"/>
  <c r="K18" i="6"/>
  <c r="I33" i="2"/>
  <c r="M32" i="2"/>
  <c r="M43" i="6"/>
  <c r="N43" i="8"/>
  <c r="L44" i="2"/>
  <c r="E45" i="2"/>
  <c r="F61" i="8" l="1"/>
  <c r="L31" i="1" s="1"/>
  <c r="H60" i="8" s="1"/>
  <c r="L32" i="1" s="1"/>
  <c r="J19" i="6"/>
  <c r="F20" i="6" s="1"/>
  <c r="K19" i="6"/>
  <c r="I19" i="6"/>
  <c r="N19" i="6" s="1"/>
  <c r="I20" i="1"/>
  <c r="F17" i="8"/>
  <c r="H17" i="8" s="1"/>
  <c r="O17" i="8" s="1"/>
  <c r="K17" i="8"/>
  <c r="N44" i="8"/>
  <c r="M44" i="6"/>
  <c r="M33" i="2"/>
  <c r="L45" i="2"/>
  <c r="E46" i="2"/>
  <c r="G34" i="2"/>
  <c r="F34" i="2" s="1"/>
  <c r="J17" i="8" l="1"/>
  <c r="L17" i="8"/>
  <c r="I21" i="1"/>
  <c r="I25" i="1" s="1"/>
  <c r="I17" i="8"/>
  <c r="G18" i="8" s="1"/>
  <c r="J20" i="6"/>
  <c r="F21" i="6" s="1"/>
  <c r="K20" i="6"/>
  <c r="I20" i="6"/>
  <c r="N20" i="6" s="1"/>
  <c r="H34" i="2"/>
  <c r="I34" i="2"/>
  <c r="M45" i="6"/>
  <c r="N45" i="8"/>
  <c r="L46" i="2"/>
  <c r="E47" i="2"/>
  <c r="K18" i="8" l="1"/>
  <c r="L18" i="8" s="1"/>
  <c r="J21" i="6"/>
  <c r="K21" i="6"/>
  <c r="I21" i="6"/>
  <c r="N21" i="6" s="1"/>
  <c r="F18" i="8"/>
  <c r="H18" i="8" s="1"/>
  <c r="O18" i="8" s="1"/>
  <c r="M46" i="6"/>
  <c r="N46" i="8"/>
  <c r="M34" i="2"/>
  <c r="E48" i="2"/>
  <c r="L47" i="2"/>
  <c r="G35" i="2"/>
  <c r="F35" i="2" s="1"/>
  <c r="F22" i="6" l="1"/>
  <c r="J18" i="8"/>
  <c r="I18" i="8"/>
  <c r="H35" i="2"/>
  <c r="I35" i="2"/>
  <c r="N47" i="8"/>
  <c r="M47" i="6"/>
  <c r="L48" i="2"/>
  <c r="E49" i="2"/>
  <c r="I22" i="6" l="1"/>
  <c r="N22" i="6" s="1"/>
  <c r="K22" i="6"/>
  <c r="J22" i="6"/>
  <c r="G19" i="8"/>
  <c r="K19" i="8"/>
  <c r="N48" i="8"/>
  <c r="M48" i="6"/>
  <c r="M35" i="2"/>
  <c r="G36" i="2"/>
  <c r="F36" i="2" s="1"/>
  <c r="E50" i="2"/>
  <c r="L49" i="2"/>
  <c r="F23" i="6" l="1"/>
  <c r="L19" i="8"/>
  <c r="F19" i="8"/>
  <c r="H19" i="8" s="1"/>
  <c r="O19" i="8" s="1"/>
  <c r="H36" i="2"/>
  <c r="I36" i="2"/>
  <c r="L50" i="2"/>
  <c r="N49" i="8"/>
  <c r="M49" i="6"/>
  <c r="I23" i="6" l="1"/>
  <c r="N23" i="6" s="1"/>
  <c r="K23" i="6"/>
  <c r="J23" i="6"/>
  <c r="J19" i="8"/>
  <c r="I19" i="8"/>
  <c r="N50" i="8"/>
  <c r="M50" i="6"/>
  <c r="M36" i="2"/>
  <c r="G37" i="2"/>
  <c r="F37" i="2" s="1"/>
  <c r="F24" i="6" l="1"/>
  <c r="K20" i="8"/>
  <c r="G20" i="8"/>
  <c r="F20" i="8" s="1"/>
  <c r="H37" i="2"/>
  <c r="I37" i="2"/>
  <c r="I24" i="6" l="1"/>
  <c r="N24" i="6" s="1"/>
  <c r="K24" i="6"/>
  <c r="J24" i="6"/>
  <c r="L20" i="8"/>
  <c r="H20" i="8"/>
  <c r="O20" i="8" s="1"/>
  <c r="I20" i="8"/>
  <c r="G21" i="8" s="1"/>
  <c r="F21" i="8" s="1"/>
  <c r="J20" i="8"/>
  <c r="M37" i="2"/>
  <c r="G38" i="2"/>
  <c r="F38" i="2" s="1"/>
  <c r="H26" i="6" l="1"/>
  <c r="F25" i="6"/>
  <c r="J25" i="6" s="1"/>
  <c r="H38" i="2"/>
  <c r="I38" i="2"/>
  <c r="K21" i="8"/>
  <c r="H27" i="6" l="1"/>
  <c r="I25" i="6"/>
  <c r="N25" i="6" s="1"/>
  <c r="K25" i="6"/>
  <c r="F26" i="6"/>
  <c r="J26" i="6" s="1"/>
  <c r="L21" i="8"/>
  <c r="M38" i="2"/>
  <c r="G39" i="2"/>
  <c r="F39" i="2" s="1"/>
  <c r="F27" i="6" l="1"/>
  <c r="I27" i="6" s="1"/>
  <c r="N27" i="6" s="1"/>
  <c r="I26" i="6"/>
  <c r="N26" i="6" s="1"/>
  <c r="K26" i="6"/>
  <c r="H28" i="6"/>
  <c r="H39" i="2"/>
  <c r="I39" i="2"/>
  <c r="J27" i="6" l="1"/>
  <c r="F28" i="6" s="1"/>
  <c r="J28" i="6" s="1"/>
  <c r="K27" i="6"/>
  <c r="H21" i="8"/>
  <c r="O21" i="8" s="1"/>
  <c r="I21" i="8"/>
  <c r="G22" i="8" s="1"/>
  <c r="F22" i="8" s="1"/>
  <c r="J21" i="8"/>
  <c r="M39" i="2"/>
  <c r="G40" i="2"/>
  <c r="F40" i="2" s="1"/>
  <c r="M8" i="8" l="1"/>
  <c r="M9" i="8" s="1"/>
  <c r="M10" i="8" s="1"/>
  <c r="H29" i="6"/>
  <c r="F29" i="6" s="1"/>
  <c r="I28" i="6"/>
  <c r="N28" i="6" s="1"/>
  <c r="K28" i="6"/>
  <c r="H30" i="6"/>
  <c r="H40" i="2"/>
  <c r="I40" i="2"/>
  <c r="K22" i="8"/>
  <c r="K29" i="6" l="1"/>
  <c r="I29" i="6"/>
  <c r="N29" i="6" s="1"/>
  <c r="J29" i="6"/>
  <c r="F30" i="6" s="1"/>
  <c r="L20" i="1"/>
  <c r="L22" i="8"/>
  <c r="I22" i="8"/>
  <c r="M40" i="2"/>
  <c r="G41" i="2"/>
  <c r="F41" i="2" s="1"/>
  <c r="K30" i="6" l="1"/>
  <c r="I30" i="6"/>
  <c r="N30" i="6" s="1"/>
  <c r="H31" i="6"/>
  <c r="J30" i="6"/>
  <c r="H32" i="6" s="1"/>
  <c r="H41" i="2"/>
  <c r="I41" i="2"/>
  <c r="L21" i="1"/>
  <c r="L25" i="1" s="1"/>
  <c r="J22" i="8"/>
  <c r="H22" i="8"/>
  <c r="G23" i="8"/>
  <c r="F23" i="8" s="1"/>
  <c r="F31" i="6" l="1"/>
  <c r="J31" i="6" s="1"/>
  <c r="F32" i="6" s="1"/>
  <c r="J32" i="6" s="1"/>
  <c r="F33" i="6" s="1"/>
  <c r="J33" i="6" s="1"/>
  <c r="K23" i="8"/>
  <c r="O22" i="8"/>
  <c r="M41" i="2"/>
  <c r="G42" i="2"/>
  <c r="F42" i="2" s="1"/>
  <c r="I31" i="6" l="1"/>
  <c r="N31" i="6" s="1"/>
  <c r="K31" i="6"/>
  <c r="K32" i="6"/>
  <c r="H42" i="2"/>
  <c r="I42" i="2"/>
  <c r="I23" i="8"/>
  <c r="H34" i="6"/>
  <c r="F34" i="6" s="1"/>
  <c r="J34" i="6" s="1"/>
  <c r="I32" i="6"/>
  <c r="L23" i="8" l="1"/>
  <c r="J23" i="8"/>
  <c r="H23" i="8"/>
  <c r="G24" i="8"/>
  <c r="F24" i="8" s="1"/>
  <c r="N32" i="6"/>
  <c r="M42" i="2"/>
  <c r="G43" i="2"/>
  <c r="F43" i="2" s="1"/>
  <c r="H43" i="2" l="1"/>
  <c r="I43" i="2"/>
  <c r="K24" i="8"/>
  <c r="O23" i="8"/>
  <c r="K33" i="6"/>
  <c r="H35" i="6"/>
  <c r="F35" i="6" s="1"/>
  <c r="J35" i="6" s="1"/>
  <c r="I24" i="8" l="1"/>
  <c r="N33" i="6"/>
  <c r="M43" i="2"/>
  <c r="G44" i="2"/>
  <c r="F44" i="2" s="1"/>
  <c r="H44" i="2" l="1"/>
  <c r="I44" i="2"/>
  <c r="L24" i="8"/>
  <c r="H24" i="8"/>
  <c r="J24" i="8"/>
  <c r="G25" i="8"/>
  <c r="F25" i="8" s="1"/>
  <c r="K25" i="8" l="1"/>
  <c r="O24" i="8"/>
  <c r="M44" i="2"/>
  <c r="K34" i="6"/>
  <c r="I34" i="6"/>
  <c r="H36" i="6"/>
  <c r="F36" i="6" s="1"/>
  <c r="J36" i="6" s="1"/>
  <c r="G45" i="2"/>
  <c r="F45" i="2" s="1"/>
  <c r="H45" i="2" l="1"/>
  <c r="I45" i="2"/>
  <c r="I25" i="8"/>
  <c r="N34" i="6"/>
  <c r="L25" i="8" l="1"/>
  <c r="J25" i="8"/>
  <c r="H25" i="8"/>
  <c r="G26" i="8"/>
  <c r="F26" i="8" s="1"/>
  <c r="M45" i="2"/>
  <c r="G46" i="2"/>
  <c r="F46" i="2" s="1"/>
  <c r="H46" i="2" l="1"/>
  <c r="I46" i="2"/>
  <c r="K26" i="8"/>
  <c r="O25" i="8"/>
  <c r="K35" i="6"/>
  <c r="I35" i="6"/>
  <c r="H37" i="6"/>
  <c r="F37" i="6" s="1"/>
  <c r="J37" i="6" s="1"/>
  <c r="I26" i="8" l="1"/>
  <c r="M46" i="2"/>
  <c r="N35" i="6"/>
  <c r="G47" i="2"/>
  <c r="F47" i="2" s="1"/>
  <c r="H47" i="2" l="1"/>
  <c r="I47" i="2"/>
  <c r="G48" i="2" s="1"/>
  <c r="F48" i="2" s="1"/>
  <c r="H48" i="2" s="1"/>
  <c r="L26" i="8"/>
  <c r="H26" i="8"/>
  <c r="J26" i="8"/>
  <c r="G27" i="8"/>
  <c r="F27" i="8" s="1"/>
  <c r="I48" i="2" l="1"/>
  <c r="G49" i="2" s="1"/>
  <c r="F49" i="2" s="1"/>
  <c r="H49" i="2" s="1"/>
  <c r="K27" i="8"/>
  <c r="O26" i="8"/>
  <c r="M47" i="2"/>
  <c r="K36" i="6"/>
  <c r="I36" i="6"/>
  <c r="H38" i="6"/>
  <c r="F38" i="6" s="1"/>
  <c r="J38" i="6" s="1"/>
  <c r="I49" i="2" l="1"/>
  <c r="G50" i="2" s="1"/>
  <c r="F50" i="2" s="1"/>
  <c r="H50" i="2" s="1"/>
  <c r="I27" i="8"/>
  <c r="M48" i="2"/>
  <c r="N36" i="6"/>
  <c r="I50" i="2" l="1"/>
  <c r="L27" i="8"/>
  <c r="H27" i="8"/>
  <c r="J27" i="8"/>
  <c r="G28" i="8"/>
  <c r="F28" i="8" s="1"/>
  <c r="M49" i="2"/>
  <c r="G51" i="2"/>
  <c r="K28" i="8" l="1"/>
  <c r="O27" i="8"/>
  <c r="K37" i="6"/>
  <c r="I37" i="6"/>
  <c r="H39" i="6"/>
  <c r="F39" i="6" s="1"/>
  <c r="J39" i="6" s="1"/>
  <c r="F51" i="2"/>
  <c r="I28" i="8" l="1"/>
  <c r="N37" i="6"/>
  <c r="M50" i="2"/>
  <c r="H51" i="2"/>
  <c r="O53" i="2" l="1"/>
  <c r="N16" i="2" s="1"/>
  <c r="O16" i="2" s="1"/>
  <c r="L28" i="8"/>
  <c r="J28" i="8"/>
  <c r="H28" i="8"/>
  <c r="G29" i="8"/>
  <c r="F29" i="8" s="1"/>
  <c r="N18" i="2" l="1"/>
  <c r="O18" i="2" s="1"/>
  <c r="N20" i="2"/>
  <c r="N44" i="2"/>
  <c r="O44" i="2" s="1"/>
  <c r="N31" i="2"/>
  <c r="O31" i="2" s="1"/>
  <c r="N49" i="2"/>
  <c r="O49" i="2" s="1"/>
  <c r="N35" i="2"/>
  <c r="O35" i="2" s="1"/>
  <c r="N30" i="2"/>
  <c r="O30" i="2" s="1"/>
  <c r="N23" i="2"/>
  <c r="O23" i="2" s="1"/>
  <c r="N33" i="2"/>
  <c r="O33" i="2" s="1"/>
  <c r="N19" i="2"/>
  <c r="O19" i="2" s="1"/>
  <c r="N28" i="2"/>
  <c r="O28" i="2" s="1"/>
  <c r="N29" i="2"/>
  <c r="O29" i="2" s="1"/>
  <c r="N39" i="2"/>
  <c r="O39" i="2" s="1"/>
  <c r="N40" i="2"/>
  <c r="O40" i="2" s="1"/>
  <c r="N36" i="2"/>
  <c r="O36" i="2" s="1"/>
  <c r="N26" i="2"/>
  <c r="O26" i="2" s="1"/>
  <c r="N50" i="2"/>
  <c r="O50" i="2" s="1"/>
  <c r="N27" i="2"/>
  <c r="O27" i="2" s="1"/>
  <c r="N46" i="2"/>
  <c r="O46" i="2" s="1"/>
  <c r="N37" i="2"/>
  <c r="O37" i="2" s="1"/>
  <c r="N48" i="2"/>
  <c r="O48" i="2" s="1"/>
  <c r="N34" i="2"/>
  <c r="O34" i="2" s="1"/>
  <c r="N24" i="2"/>
  <c r="O24" i="2" s="1"/>
  <c r="N47" i="2"/>
  <c r="O47" i="2" s="1"/>
  <c r="N22" i="2"/>
  <c r="O22" i="2" s="1"/>
  <c r="N43" i="2"/>
  <c r="O43" i="2" s="1"/>
  <c r="N45" i="2"/>
  <c r="O45" i="2" s="1"/>
  <c r="N32" i="2"/>
  <c r="O32" i="2" s="1"/>
  <c r="N17" i="2"/>
  <c r="O17" i="2" s="1"/>
  <c r="N42" i="2"/>
  <c r="O42" i="2" s="1"/>
  <c r="N38" i="2"/>
  <c r="O38" i="2" s="1"/>
  <c r="N21" i="2"/>
  <c r="O21" i="2" s="1"/>
  <c r="N41" i="2"/>
  <c r="O41" i="2" s="1"/>
  <c r="N25" i="2"/>
  <c r="O25" i="2" s="1"/>
  <c r="O20" i="2"/>
  <c r="K29" i="8"/>
  <c r="O28" i="8"/>
  <c r="K38" i="6"/>
  <c r="I38" i="6"/>
  <c r="H40" i="6"/>
  <c r="F40" i="6" s="1"/>
  <c r="J40" i="6" s="1"/>
  <c r="N51" i="2" l="1"/>
  <c r="O51" i="2"/>
  <c r="O52" i="2" s="1"/>
  <c r="K11" i="2" s="1"/>
  <c r="I29" i="8"/>
  <c r="N38" i="6"/>
  <c r="L29" i="8" l="1"/>
  <c r="J29" i="8"/>
  <c r="H29" i="8"/>
  <c r="G30" i="8"/>
  <c r="F30" i="8" s="1"/>
  <c r="E22" i="1" l="1"/>
  <c r="K30" i="8"/>
  <c r="O29" i="8"/>
  <c r="K39" i="6"/>
  <c r="I39" i="6"/>
  <c r="H41" i="6"/>
  <c r="F41" i="6" s="1"/>
  <c r="J41" i="6" s="1"/>
  <c r="I30" i="8" l="1"/>
  <c r="N39" i="6"/>
  <c r="L30" i="8" l="1"/>
  <c r="H30" i="8"/>
  <c r="J30" i="8"/>
  <c r="G31" i="8"/>
  <c r="F31" i="8" s="1"/>
  <c r="K31" i="8" l="1"/>
  <c r="O30" i="8"/>
  <c r="K40" i="6"/>
  <c r="I40" i="6"/>
  <c r="H42" i="6"/>
  <c r="F42" i="6" s="1"/>
  <c r="J42" i="6" s="1"/>
  <c r="I31" i="8" l="1"/>
  <c r="N40" i="6"/>
  <c r="L31" i="8" l="1"/>
  <c r="H31" i="8"/>
  <c r="J31" i="8"/>
  <c r="G32" i="8"/>
  <c r="F32" i="8" s="1"/>
  <c r="K32" i="8" l="1"/>
  <c r="O31" i="8"/>
  <c r="K41" i="6"/>
  <c r="I41" i="6"/>
  <c r="H43" i="6"/>
  <c r="F43" i="6" s="1"/>
  <c r="J43" i="6" s="1"/>
  <c r="I32" i="8" l="1"/>
  <c r="N41" i="6"/>
  <c r="L32" i="8" l="1"/>
  <c r="H32" i="8"/>
  <c r="J32" i="8"/>
  <c r="G33" i="8"/>
  <c r="F33" i="8" s="1"/>
  <c r="K33" i="8" l="1"/>
  <c r="O32" i="8"/>
  <c r="K42" i="6"/>
  <c r="I42" i="6"/>
  <c r="H44" i="6"/>
  <c r="F44" i="6" s="1"/>
  <c r="J44" i="6" s="1"/>
  <c r="I33" i="8" l="1"/>
  <c r="N42" i="6"/>
  <c r="L33" i="8" l="1"/>
  <c r="J33" i="8"/>
  <c r="H33" i="8"/>
  <c r="G34" i="8"/>
  <c r="F34" i="8" s="1"/>
  <c r="K34" i="8" l="1"/>
  <c r="O33" i="8"/>
  <c r="K43" i="6"/>
  <c r="I43" i="6"/>
  <c r="H45" i="6"/>
  <c r="F45" i="6" s="1"/>
  <c r="J45" i="6" s="1"/>
  <c r="I34" i="8" l="1"/>
  <c r="N43" i="6"/>
  <c r="L34" i="8" l="1"/>
  <c r="H34" i="8"/>
  <c r="J34" i="8"/>
  <c r="G35" i="8"/>
  <c r="F35" i="8" s="1"/>
  <c r="K44" i="6"/>
  <c r="I44" i="6"/>
  <c r="H46" i="6"/>
  <c r="F46" i="6" s="1"/>
  <c r="J46" i="6" s="1"/>
  <c r="K35" i="8" l="1"/>
  <c r="O34" i="8"/>
  <c r="N44" i="6"/>
  <c r="I35" i="8" l="1"/>
  <c r="L35" i="8" l="1"/>
  <c r="H35" i="8"/>
  <c r="J35" i="8"/>
  <c r="G36" i="8"/>
  <c r="F36" i="8" s="1"/>
  <c r="K45" i="6"/>
  <c r="I45" i="6"/>
  <c r="H47" i="6"/>
  <c r="F47" i="6" l="1"/>
  <c r="J47" i="6" s="1"/>
  <c r="K36" i="8"/>
  <c r="O35" i="8"/>
  <c r="N45" i="6"/>
  <c r="I36" i="8" l="1"/>
  <c r="L36" i="8" l="1"/>
  <c r="H36" i="8"/>
  <c r="J36" i="8"/>
  <c r="G37" i="8"/>
  <c r="F37" i="8" s="1"/>
  <c r="K46" i="6"/>
  <c r="I46" i="6"/>
  <c r="K37" i="8" l="1"/>
  <c r="O36" i="8"/>
  <c r="H48" i="6"/>
  <c r="F48" i="6" s="1"/>
  <c r="J48" i="6" s="1"/>
  <c r="N46" i="6"/>
  <c r="I37" i="8" l="1"/>
  <c r="H49" i="6"/>
  <c r="F49" i="6" s="1"/>
  <c r="J49" i="6" s="1"/>
  <c r="K47" i="6"/>
  <c r="I47" i="6"/>
  <c r="L37" i="8" l="1"/>
  <c r="J37" i="8"/>
  <c r="H37" i="8"/>
  <c r="G38" i="8"/>
  <c r="F38" i="8" s="1"/>
  <c r="N47" i="6"/>
  <c r="K38" i="8" l="1"/>
  <c r="O37" i="8"/>
  <c r="I38" i="8" l="1"/>
  <c r="L38" i="8" l="1"/>
  <c r="J38" i="8"/>
  <c r="H38" i="8"/>
  <c r="G39" i="8"/>
  <c r="F39" i="8" s="1"/>
  <c r="K48" i="6"/>
  <c r="I48" i="6"/>
  <c r="K39" i="8" l="1"/>
  <c r="O38" i="8"/>
  <c r="H50" i="6"/>
  <c r="F50" i="6" s="1"/>
  <c r="J50" i="6" s="1"/>
  <c r="N48" i="6"/>
  <c r="K49" i="6"/>
  <c r="I49" i="6"/>
  <c r="I39" i="8" l="1"/>
  <c r="N49" i="6"/>
  <c r="L39" i="8" l="1"/>
  <c r="J39" i="8"/>
  <c r="H39" i="8"/>
  <c r="G40" i="8"/>
  <c r="F40" i="8" s="1"/>
  <c r="K40" i="8" l="1"/>
  <c r="O39" i="8"/>
  <c r="H51" i="6"/>
  <c r="I40" i="8" l="1"/>
  <c r="F51" i="6"/>
  <c r="K50" i="6"/>
  <c r="K51" i="6" s="1"/>
  <c r="I50" i="6"/>
  <c r="I51" i="6" s="1"/>
  <c r="L40" i="8" l="1"/>
  <c r="H40" i="8"/>
  <c r="J40" i="8"/>
  <c r="G41" i="8"/>
  <c r="F41" i="8" s="1"/>
  <c r="N50" i="6"/>
  <c r="O53" i="6" s="1"/>
  <c r="O16" i="6" l="1"/>
  <c r="K41" i="8"/>
  <c r="O40" i="8"/>
  <c r="O19" i="6" l="1"/>
  <c r="P19" i="6" s="1"/>
  <c r="O32" i="6"/>
  <c r="P32" i="6" s="1"/>
  <c r="O39" i="6"/>
  <c r="P39" i="6" s="1"/>
  <c r="O26" i="6"/>
  <c r="P26" i="6" s="1"/>
  <c r="O46" i="6"/>
  <c r="P46" i="6" s="1"/>
  <c r="O20" i="6"/>
  <c r="P20" i="6" s="1"/>
  <c r="O33" i="6"/>
  <c r="P33" i="6" s="1"/>
  <c r="O40" i="6"/>
  <c r="P40" i="6" s="1"/>
  <c r="O47" i="6"/>
  <c r="P47" i="6" s="1"/>
  <c r="O27" i="6"/>
  <c r="P27" i="6" s="1"/>
  <c r="O41" i="6"/>
  <c r="P41" i="6" s="1"/>
  <c r="O21" i="6"/>
  <c r="P21" i="6" s="1"/>
  <c r="O34" i="6"/>
  <c r="P34" i="6" s="1"/>
  <c r="O48" i="6"/>
  <c r="P48" i="6" s="1"/>
  <c r="O28" i="6"/>
  <c r="P28" i="6" s="1"/>
  <c r="O35" i="6"/>
  <c r="P35" i="6" s="1"/>
  <c r="O42" i="6"/>
  <c r="P42" i="6" s="1"/>
  <c r="O18" i="6"/>
  <c r="P18" i="6" s="1"/>
  <c r="O31" i="6"/>
  <c r="P31" i="6" s="1"/>
  <c r="O45" i="6"/>
  <c r="P45" i="6" s="1"/>
  <c r="O23" i="6"/>
  <c r="P23" i="6" s="1"/>
  <c r="O37" i="6"/>
  <c r="P37" i="6" s="1"/>
  <c r="O24" i="6"/>
  <c r="P24" i="6" s="1"/>
  <c r="P16" i="6"/>
  <c r="O43" i="6"/>
  <c r="P43" i="6" s="1"/>
  <c r="O17" i="6"/>
  <c r="P17" i="6" s="1"/>
  <c r="O22" i="6"/>
  <c r="P22" i="6" s="1"/>
  <c r="O49" i="6"/>
  <c r="P49" i="6" s="1"/>
  <c r="O36" i="6"/>
  <c r="P36" i="6" s="1"/>
  <c r="O50" i="6"/>
  <c r="P50" i="6" s="1"/>
  <c r="O38" i="6"/>
  <c r="P38" i="6" s="1"/>
  <c r="O25" i="6"/>
  <c r="P25" i="6" s="1"/>
  <c r="O29" i="6"/>
  <c r="P29" i="6" s="1"/>
  <c r="O30" i="6"/>
  <c r="P30" i="6" s="1"/>
  <c r="O44" i="6"/>
  <c r="P44" i="6" s="1"/>
  <c r="I41" i="8"/>
  <c r="P51" i="6" l="1"/>
  <c r="O51" i="6"/>
  <c r="L41" i="8"/>
  <c r="J41" i="8"/>
  <c r="H41" i="8"/>
  <c r="G42" i="8"/>
  <c r="F42" i="8" s="1"/>
  <c r="O52" i="6" l="1"/>
  <c r="L11" i="6" s="1"/>
  <c r="I22" i="1" s="1"/>
  <c r="K42" i="8"/>
  <c r="O41" i="8"/>
  <c r="I42" i="8" l="1"/>
  <c r="L42" i="8" l="1"/>
  <c r="H42" i="8"/>
  <c r="J42" i="8"/>
  <c r="G43" i="8"/>
  <c r="F43" i="8" s="1"/>
  <c r="K43" i="8" l="1"/>
  <c r="O42" i="8"/>
  <c r="L43" i="8" l="1"/>
  <c r="I43" i="8" l="1"/>
  <c r="J43" i="8" l="1"/>
  <c r="H43" i="8"/>
  <c r="G44" i="8"/>
  <c r="F44" i="8" s="1"/>
  <c r="K44" i="8" l="1"/>
  <c r="O43" i="8"/>
  <c r="L44" i="8" l="1"/>
  <c r="I44" i="8" l="1"/>
  <c r="J44" i="8" l="1"/>
  <c r="H44" i="8"/>
  <c r="G45" i="8"/>
  <c r="F45" i="8" s="1"/>
  <c r="K45" i="8" l="1"/>
  <c r="O44" i="8"/>
  <c r="I45" i="8" l="1"/>
  <c r="L45" i="8"/>
  <c r="J45" i="8" l="1"/>
  <c r="H45" i="8"/>
  <c r="G46" i="8"/>
  <c r="F46" i="8" s="1"/>
  <c r="K46" i="8" l="1"/>
  <c r="O45" i="8"/>
  <c r="L46" i="8" l="1"/>
  <c r="I46" i="8" l="1"/>
  <c r="H46" i="8" l="1"/>
  <c r="J46" i="8"/>
  <c r="G47" i="8"/>
  <c r="F47" i="8" s="1"/>
  <c r="K47" i="8" l="1"/>
  <c r="O46" i="8"/>
  <c r="L47" i="8" l="1"/>
  <c r="I47" i="8" l="1"/>
  <c r="J47" i="8" l="1"/>
  <c r="H47" i="8"/>
  <c r="G48" i="8"/>
  <c r="F48" i="8" s="1"/>
  <c r="K48" i="8" l="1"/>
  <c r="O47" i="8"/>
  <c r="I48" i="8" l="1"/>
  <c r="L48" i="8" l="1"/>
  <c r="J48" i="8"/>
  <c r="H48" i="8"/>
  <c r="G49" i="8"/>
  <c r="F49" i="8" s="1"/>
  <c r="K49" i="8" l="1"/>
  <c r="O48" i="8"/>
  <c r="J49" i="8" l="1"/>
  <c r="I49" i="8"/>
  <c r="H49" i="8"/>
  <c r="O49" i="8" s="1"/>
  <c r="L49" i="8"/>
  <c r="K50" i="8" l="1"/>
  <c r="K51" i="8" s="1"/>
  <c r="G50" i="8"/>
  <c r="F50" i="8" s="1"/>
  <c r="L50" i="8" l="1"/>
  <c r="I50" i="8"/>
  <c r="G51" i="8"/>
  <c r="J50" i="8" l="1"/>
  <c r="J51" i="8" s="1"/>
  <c r="H50" i="8"/>
  <c r="F51" i="8"/>
  <c r="O50" i="8" l="1"/>
  <c r="H51" i="8"/>
  <c r="Q53" i="8" l="1"/>
  <c r="P16" i="8" s="1"/>
  <c r="Q16" i="8" s="1"/>
  <c r="P34" i="8" l="1"/>
  <c r="Q34" i="8" s="1"/>
  <c r="P33" i="8"/>
  <c r="Q33" i="8" s="1"/>
  <c r="P46" i="8"/>
  <c r="Q46" i="8" s="1"/>
  <c r="P23" i="8"/>
  <c r="Q23" i="8" s="1"/>
  <c r="P19" i="8"/>
  <c r="Q19" i="8" s="1"/>
  <c r="P22" i="8"/>
  <c r="Q22" i="8" s="1"/>
  <c r="P21" i="8"/>
  <c r="Q21" i="8" s="1"/>
  <c r="P20" i="8"/>
  <c r="Q20" i="8" s="1"/>
  <c r="P40" i="8"/>
  <c r="Q40" i="8" s="1"/>
  <c r="P18" i="8"/>
  <c r="Q18" i="8" s="1"/>
  <c r="P31" i="8"/>
  <c r="Q31" i="8" s="1"/>
  <c r="P44" i="8"/>
  <c r="Q44" i="8" s="1"/>
  <c r="P48" i="8"/>
  <c r="Q48" i="8" s="1"/>
  <c r="P47" i="8"/>
  <c r="Q47" i="8" s="1"/>
  <c r="P36" i="8"/>
  <c r="Q36" i="8" s="1"/>
  <c r="P37" i="8"/>
  <c r="Q37" i="8" s="1"/>
  <c r="P43" i="8"/>
  <c r="Q43" i="8" s="1"/>
  <c r="P39" i="8"/>
  <c r="Q39" i="8" s="1"/>
  <c r="P17" i="8"/>
  <c r="Q17" i="8" s="1"/>
  <c r="P32" i="8"/>
  <c r="Q32" i="8" s="1"/>
  <c r="P27" i="8"/>
  <c r="Q27" i="8" s="1"/>
  <c r="P29" i="8"/>
  <c r="Q29" i="8" s="1"/>
  <c r="P50" i="8"/>
  <c r="Q50" i="8" s="1"/>
  <c r="P26" i="8"/>
  <c r="Q26" i="8" s="1"/>
  <c r="P45" i="8"/>
  <c r="Q45" i="8" s="1"/>
  <c r="P35" i="8"/>
  <c r="Q35" i="8" s="1"/>
  <c r="P30" i="8"/>
  <c r="Q30" i="8" s="1"/>
  <c r="P28" i="8"/>
  <c r="Q28" i="8" s="1"/>
  <c r="P42" i="8"/>
  <c r="Q42" i="8" s="1"/>
  <c r="P25" i="8"/>
  <c r="Q25" i="8" s="1"/>
  <c r="P49" i="8"/>
  <c r="Q49" i="8" s="1"/>
  <c r="P38" i="8"/>
  <c r="Q38" i="8" s="1"/>
  <c r="P24" i="8"/>
  <c r="Q24" i="8" s="1"/>
  <c r="P41" i="8"/>
  <c r="Q41" i="8" s="1"/>
  <c r="P51" i="8" l="1"/>
  <c r="Q51" i="8"/>
  <c r="Q52" i="8" l="1"/>
  <c r="M11" i="8" s="1"/>
  <c r="L22" i="1" s="1"/>
</calcChain>
</file>

<file path=xl/sharedStrings.xml><?xml version="1.0" encoding="utf-8"?>
<sst xmlns="http://schemas.openxmlformats.org/spreadsheetml/2006/main" count="223" uniqueCount="75">
  <si>
    <t>VRD A</t>
  </si>
  <si>
    <t>VRD B</t>
  </si>
  <si>
    <t>VRD C</t>
  </si>
  <si>
    <t>Monto de la emision</t>
  </si>
  <si>
    <t>Fecha de emision</t>
  </si>
  <si>
    <t>Precio</t>
  </si>
  <si>
    <t>TIR</t>
  </si>
  <si>
    <t>TNA</t>
  </si>
  <si>
    <t>Duration (meses)</t>
  </si>
  <si>
    <t>Ultima Tamar Publicada</t>
  </si>
  <si>
    <t>Julián Montoya</t>
  </si>
  <si>
    <t>Enzo Agustin Chavero</t>
  </si>
  <si>
    <t xml:space="preserve">Gerencia Comercial </t>
  </si>
  <si>
    <t>jmontoya@valo.ar</t>
  </si>
  <si>
    <t>echavero@valo.ar</t>
  </si>
  <si>
    <t>T. 4323 - 6907/6954</t>
  </si>
  <si>
    <t>Sarmiento 310 (C1041AAH)</t>
  </si>
  <si>
    <t>www.valo.ar</t>
  </si>
  <si>
    <t>“La presente planilla de cálculo es solamente a modo ilustrativo y ejemplificativo. El Interesado deberá, a los efectos de la suscripción de los Valores Fiduciarios, basarse en sus propios cálculos y evaluación de los Términos y Condiciones de los Valores Fiduciarios descriptos en el Suplemento de Prospecto que ha tenido a su disposición, a fin de determinar el rendimiento de los Valores Fiduciarios. Se aclara que el uso de la Planilla de Cálculo no es obligatorio para el Interesado, sino meramente orientativo, y que los resultados que ésta arroje no serán vinculantes; por tal motivo BANCO DE VALORES S.A. no asumirá responsabilidad alguna con motivo de cualquier error cometido en la realización de los cálculos respectivos o en su interpretación por parte del Interesado.”</t>
  </si>
  <si>
    <t>Monto</t>
  </si>
  <si>
    <t>Tamar</t>
  </si>
  <si>
    <t>Margen</t>
  </si>
  <si>
    <t>Cupón</t>
  </si>
  <si>
    <t>Base</t>
  </si>
  <si>
    <t>Fecha de Emisión</t>
  </si>
  <si>
    <t>Mínimo</t>
  </si>
  <si>
    <t>Máximo</t>
  </si>
  <si>
    <t>Flujo de Fondos disponibles</t>
  </si>
  <si>
    <t>VRDA</t>
  </si>
  <si>
    <t>Cuota</t>
  </si>
  <si>
    <t>Fecha</t>
  </si>
  <si>
    <t xml:space="preserve">Capital </t>
  </si>
  <si>
    <t xml:space="preserve">Intereses </t>
  </si>
  <si>
    <t>Total</t>
  </si>
  <si>
    <t>Saldo de Capital</t>
  </si>
  <si>
    <t>% Amortizado</t>
  </si>
  <si>
    <t>-</t>
  </si>
  <si>
    <t>TIR y DURATION VDF "A"</t>
  </si>
  <si>
    <t>VP</t>
  </si>
  <si>
    <t>(n*VP)/365</t>
  </si>
  <si>
    <t>Duration (años)</t>
  </si>
  <si>
    <t>TIR VRD</t>
  </si>
  <si>
    <t>Feriados</t>
  </si>
  <si>
    <t>VRDB</t>
  </si>
  <si>
    <t xml:space="preserve">Devengamiento intereses </t>
  </si>
  <si>
    <t>Interes Acumulado</t>
  </si>
  <si>
    <t>Fecha de Emision</t>
  </si>
  <si>
    <t>Inclusive</t>
  </si>
  <si>
    <t>CASH FLOW VALORES DE DEUDA FIDUCIARIAS "A" EN PESOS A TASA MINIMA</t>
  </si>
  <si>
    <t>Primer Pago</t>
  </si>
  <si>
    <t>Días</t>
  </si>
  <si>
    <t>Cupon</t>
  </si>
  <si>
    <t>Cupon Minimo</t>
  </si>
  <si>
    <t>Cupon Maximo</t>
  </si>
  <si>
    <t>Tasa de Corte</t>
  </si>
  <si>
    <t>Precio de Corte</t>
  </si>
  <si>
    <t>Duration (Meses)</t>
  </si>
  <si>
    <t>Margen S/Tamar</t>
  </si>
  <si>
    <t>Margen Sobre Tamar Solicitado</t>
  </si>
  <si>
    <t>TIR Esperada</t>
  </si>
  <si>
    <t>Spread s/Tamar</t>
  </si>
  <si>
    <t>Tasa de corte</t>
  </si>
  <si>
    <t>CASH FLOW VALORES DE DEUDA FIDUCIARIAS "B" EN PESOS A TASA MINIMA</t>
  </si>
  <si>
    <t>Precio de corte</t>
  </si>
  <si>
    <t>Maturity</t>
  </si>
  <si>
    <t>(n*VP)/360</t>
  </si>
  <si>
    <t>Calificacion (Moody´s)</t>
  </si>
  <si>
    <t>Primer tamar</t>
  </si>
  <si>
    <t>AAAsf(arg)</t>
  </si>
  <si>
    <t>AA-sf(arg)</t>
  </si>
  <si>
    <t>A+sf(arg)</t>
  </si>
  <si>
    <t>Interes Acum</t>
  </si>
  <si>
    <t>Intereses pagados</t>
  </si>
  <si>
    <t>VRDC</t>
  </si>
  <si>
    <t>FIDEICOMISO FINANCIERO SECUBONO 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</si>
</sst>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6" formatCode="&quot;$&quot;\ #,##0;[Red]\-&quot;$&quot;\ #,##0"/>
    <numFmt numFmtId="43" formatCode="_-* #,##0.00_-;\-* #,##0.00_-;_-* &quot;-&quot;??_-;_-@_-"/>
    <numFmt numFmtId="164" formatCode="0.0000%"/>
    <numFmt numFmtId="165" formatCode="_ * #,##0_ ;_ * \-#,##0_ ;_ * &quot;-&quot;??_ ;_ @_ "/>
    <numFmt numFmtId="166" formatCode="[$-F800]dddd\,\ mmmm\ dd\,\ yyyy"/>
    <numFmt numFmtId="167" formatCode="0.00000%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30"/>
      <color theme="0"/>
      <name val="Source Sans Pro"/>
      <family val="2"/>
    </font>
    <font>
      <b/>
      <sz val="14"/>
      <color rgb="FFFFFFFF"/>
      <name val="Source Sans Pro"/>
      <family val="2"/>
    </font>
    <font>
      <u/>
      <sz val="11"/>
      <color theme="10"/>
      <name val="Aptos Narrow"/>
      <family val="2"/>
      <scheme val="minor"/>
    </font>
    <font>
      <sz val="12"/>
      <name val="Source Sans Pro"/>
      <family val="2"/>
    </font>
    <font>
      <u/>
      <sz val="10"/>
      <color theme="10"/>
      <name val="Arial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27174"/>
        <bgColor indexed="64"/>
      </patternFill>
    </fill>
    <fill>
      <patternFill patternType="solid">
        <fgColor rgb="FFCE172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04">
    <xf numFmtId="0" fontId="0" fillId="0" borderId="0" xfId="0"/>
    <xf numFmtId="0" fontId="0" fillId="0" borderId="7" xfId="0" applyBorder="1"/>
    <xf numFmtId="0" fontId="0" fillId="0" borderId="4" xfId="0" applyBorder="1"/>
    <xf numFmtId="0" fontId="0" fillId="0" borderId="6" xfId="0" applyBorder="1"/>
    <xf numFmtId="0" fontId="6" fillId="0" borderId="1" xfId="0" applyFont="1" applyBorder="1" applyAlignment="1" applyProtection="1">
      <alignment wrapText="1"/>
      <protection hidden="1"/>
    </xf>
    <xf numFmtId="0" fontId="10" fillId="0" borderId="0" xfId="0" applyFont="1"/>
    <xf numFmtId="0" fontId="6" fillId="0" borderId="2" xfId="0" applyFont="1" applyBorder="1" applyProtection="1">
      <protection hidden="1"/>
    </xf>
    <xf numFmtId="0" fontId="0" fillId="0" borderId="2" xfId="0" applyBorder="1"/>
    <xf numFmtId="0" fontId="0" fillId="0" borderId="3" xfId="0" applyBorder="1"/>
    <xf numFmtId="0" fontId="9" fillId="0" borderId="5" xfId="0" applyFont="1" applyBorder="1" applyProtection="1">
      <protection hidden="1"/>
    </xf>
    <xf numFmtId="0" fontId="10" fillId="0" borderId="7" xfId="0" applyFont="1" applyBorder="1"/>
    <xf numFmtId="6" fontId="0" fillId="4" borderId="5" xfId="0" applyNumberForma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0" fontId="0" fillId="4" borderId="5" xfId="0" applyNumberForma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12" fillId="0" borderId="12" xfId="0" applyFont="1" applyBorder="1"/>
    <xf numFmtId="0" fontId="12" fillId="0" borderId="0" xfId="0" applyFont="1"/>
    <xf numFmtId="164" fontId="13" fillId="0" borderId="13" xfId="0" applyNumberFormat="1" applyFont="1" applyBorder="1" applyAlignment="1">
      <alignment horizontal="right"/>
    </xf>
    <xf numFmtId="10" fontId="13" fillId="0" borderId="13" xfId="0" applyNumberFormat="1" applyFont="1" applyBorder="1"/>
    <xf numFmtId="10" fontId="13" fillId="5" borderId="13" xfId="0" applyNumberFormat="1" applyFont="1" applyFill="1" applyBorder="1" applyAlignment="1">
      <alignment horizontal="right"/>
    </xf>
    <xf numFmtId="0" fontId="13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14" fontId="13" fillId="0" borderId="16" xfId="0" applyNumberFormat="1" applyFont="1" applyBorder="1"/>
    <xf numFmtId="10" fontId="15" fillId="6" borderId="17" xfId="2" applyNumberFormat="1" applyFont="1" applyFill="1" applyBorder="1" applyAlignment="1" applyProtection="1">
      <alignment horizontal="center"/>
    </xf>
    <xf numFmtId="10" fontId="15" fillId="6" borderId="18" xfId="2" applyNumberFormat="1" applyFont="1" applyFill="1" applyBorder="1" applyAlignment="1" applyProtection="1">
      <alignment horizontal="center"/>
    </xf>
    <xf numFmtId="9" fontId="10" fillId="0" borderId="14" xfId="0" applyNumberFormat="1" applyFont="1" applyBorder="1" applyAlignment="1">
      <alignment horizontal="center"/>
    </xf>
    <xf numFmtId="9" fontId="10" fillId="0" borderId="16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3" fontId="10" fillId="0" borderId="20" xfId="0" applyNumberFormat="1" applyFont="1" applyBorder="1"/>
    <xf numFmtId="3" fontId="10" fillId="0" borderId="21" xfId="0" applyNumberFormat="1" applyFont="1" applyBorder="1"/>
    <xf numFmtId="0" fontId="12" fillId="7" borderId="23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3" fontId="13" fillId="0" borderId="26" xfId="0" applyNumberFormat="1" applyFont="1" applyBorder="1" applyAlignment="1">
      <alignment horizontal="center"/>
    </xf>
    <xf numFmtId="14" fontId="13" fillId="0" borderId="27" xfId="0" applyNumberFormat="1" applyFont="1" applyBorder="1" applyAlignment="1">
      <alignment horizontal="center"/>
    </xf>
    <xf numFmtId="3" fontId="13" fillId="0" borderId="27" xfId="0" applyNumberFormat="1" applyFont="1" applyBorder="1"/>
    <xf numFmtId="3" fontId="13" fillId="0" borderId="28" xfId="0" applyNumberFormat="1" applyFont="1" applyBorder="1"/>
    <xf numFmtId="3" fontId="13" fillId="0" borderId="29" xfId="0" applyNumberFormat="1" applyFont="1" applyBorder="1"/>
    <xf numFmtId="10" fontId="13" fillId="0" borderId="20" xfId="0" applyNumberFormat="1" applyFont="1" applyBorder="1"/>
    <xf numFmtId="165" fontId="13" fillId="0" borderId="27" xfId="1" applyNumberFormat="1" applyFont="1" applyBorder="1" applyProtection="1"/>
    <xf numFmtId="0" fontId="12" fillId="7" borderId="23" xfId="0" applyFont="1" applyFill="1" applyBorder="1"/>
    <xf numFmtId="0" fontId="12" fillId="7" borderId="24" xfId="0" applyFont="1" applyFill="1" applyBorder="1"/>
    <xf numFmtId="3" fontId="12" fillId="7" borderId="24" xfId="0" applyNumberFormat="1" applyFont="1" applyFill="1" applyBorder="1"/>
    <xf numFmtId="3" fontId="12" fillId="7" borderId="25" xfId="0" applyNumberFormat="1" applyFont="1" applyFill="1" applyBorder="1"/>
    <xf numFmtId="10" fontId="12" fillId="7" borderId="19" xfId="0" applyNumberFormat="1" applyFont="1" applyFill="1" applyBorder="1"/>
    <xf numFmtId="3" fontId="10" fillId="0" borderId="30" xfId="0" applyNumberFormat="1" applyFont="1" applyBorder="1"/>
    <xf numFmtId="3" fontId="10" fillId="0" borderId="31" xfId="0" applyNumberFormat="1" applyFont="1" applyBorder="1"/>
    <xf numFmtId="14" fontId="12" fillId="7" borderId="23" xfId="0" applyNumberFormat="1" applyFont="1" applyFill="1" applyBorder="1" applyAlignment="1">
      <alignment horizontal="center" vertical="center"/>
    </xf>
    <xf numFmtId="3" fontId="12" fillId="7" borderId="24" xfId="0" applyNumberFormat="1" applyFont="1" applyFill="1" applyBorder="1" applyAlignment="1">
      <alignment horizontal="center" vertical="center"/>
    </xf>
    <xf numFmtId="3" fontId="12" fillId="7" borderId="32" xfId="0" applyNumberFormat="1" applyFont="1" applyFill="1" applyBorder="1" applyAlignment="1">
      <alignment horizontal="center" vertical="center"/>
    </xf>
    <xf numFmtId="3" fontId="13" fillId="0" borderId="33" xfId="0" applyNumberFormat="1" applyFont="1" applyBorder="1"/>
    <xf numFmtId="166" fontId="13" fillId="0" borderId="27" xfId="0" applyNumberFormat="1" applyFont="1" applyBorder="1" applyAlignment="1">
      <alignment horizontal="center"/>
    </xf>
    <xf numFmtId="0" fontId="12" fillId="7" borderId="23" xfId="0" applyFont="1" applyFill="1" applyBorder="1" applyAlignment="1">
      <alignment horizontal="center"/>
    </xf>
    <xf numFmtId="4" fontId="12" fillId="7" borderId="24" xfId="0" applyNumberFormat="1" applyFont="1" applyFill="1" applyBorder="1" applyAlignment="1">
      <alignment horizontal="center"/>
    </xf>
    <xf numFmtId="3" fontId="12" fillId="7" borderId="32" xfId="0" applyNumberFormat="1" applyFont="1" applyFill="1" applyBorder="1"/>
    <xf numFmtId="0" fontId="12" fillId="7" borderId="17" xfId="0" applyFont="1" applyFill="1" applyBorder="1"/>
    <xf numFmtId="0" fontId="13" fillId="7" borderId="22" xfId="0" applyFont="1" applyFill="1" applyBorder="1" applyAlignment="1">
      <alignment horizontal="center"/>
    </xf>
    <xf numFmtId="4" fontId="12" fillId="7" borderId="18" xfId="0" applyNumberFormat="1" applyFont="1" applyFill="1" applyBorder="1"/>
    <xf numFmtId="10" fontId="12" fillId="7" borderId="18" xfId="2" applyNumberFormat="1" applyFont="1" applyFill="1" applyBorder="1" applyAlignment="1" applyProtection="1"/>
    <xf numFmtId="14" fontId="0" fillId="0" borderId="0" xfId="0" applyNumberFormat="1"/>
    <xf numFmtId="0" fontId="12" fillId="7" borderId="32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/>
    </xf>
    <xf numFmtId="10" fontId="13" fillId="0" borderId="34" xfId="0" applyNumberFormat="1" applyFont="1" applyBorder="1"/>
    <xf numFmtId="3" fontId="13" fillId="0" borderId="35" xfId="0" applyNumberFormat="1" applyFont="1" applyBorder="1"/>
    <xf numFmtId="0" fontId="13" fillId="0" borderId="26" xfId="0" applyFont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10" fontId="12" fillId="7" borderId="32" xfId="0" applyNumberFormat="1" applyFont="1" applyFill="1" applyBorder="1"/>
    <xf numFmtId="3" fontId="12" fillId="7" borderId="19" xfId="0" applyNumberFormat="1" applyFont="1" applyFill="1" applyBorder="1" applyAlignment="1">
      <alignment horizontal="right"/>
    </xf>
    <xf numFmtId="0" fontId="9" fillId="0" borderId="5" xfId="0" applyFont="1" applyBorder="1" applyAlignment="1" applyProtection="1">
      <alignment horizontal="center"/>
      <protection hidden="1"/>
    </xf>
    <xf numFmtId="0" fontId="11" fillId="0" borderId="5" xfId="4" applyFont="1" applyFill="1" applyBorder="1" applyAlignment="1" applyProtection="1">
      <alignment horizontal="center"/>
      <protection hidden="1"/>
    </xf>
    <xf numFmtId="0" fontId="7" fillId="0" borderId="8" xfId="4" applyFont="1" applyFill="1" applyBorder="1" applyAlignment="1" applyProtection="1">
      <alignment horizontal="center"/>
      <protection hidden="1"/>
    </xf>
    <xf numFmtId="3" fontId="0" fillId="0" borderId="0" xfId="0" applyNumberFormat="1"/>
    <xf numFmtId="10" fontId="0" fillId="4" borderId="5" xfId="2" applyNumberFormat="1" applyFont="1" applyFill="1" applyBorder="1" applyAlignment="1">
      <alignment horizontal="center" vertical="center"/>
    </xf>
    <xf numFmtId="0" fontId="13" fillId="0" borderId="0" xfId="0" applyFont="1"/>
    <xf numFmtId="14" fontId="13" fillId="0" borderId="0" xfId="0" applyNumberFormat="1" applyFont="1"/>
    <xf numFmtId="43" fontId="13" fillId="0" borderId="0" xfId="1" applyFont="1"/>
    <xf numFmtId="14" fontId="12" fillId="7" borderId="2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" fontId="13" fillId="0" borderId="0" xfId="0" applyNumberFormat="1" applyFont="1"/>
    <xf numFmtId="43" fontId="13" fillId="0" borderId="0" xfId="1" applyFont="1" applyProtection="1"/>
    <xf numFmtId="165" fontId="13" fillId="0" borderId="0" xfId="1" applyNumberFormat="1" applyFont="1" applyProtection="1"/>
    <xf numFmtId="165" fontId="13" fillId="0" borderId="0" xfId="0" applyNumberFormat="1" applyFont="1"/>
    <xf numFmtId="0" fontId="8" fillId="0" borderId="5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left" vertical="top"/>
      <protection hidden="1"/>
    </xf>
    <xf numFmtId="164" fontId="18" fillId="0" borderId="35" xfId="5" applyNumberFormat="1" applyFont="1" applyBorder="1" applyAlignment="1" applyProtection="1">
      <alignment horizontal="center" vertical="center"/>
    </xf>
    <xf numFmtId="164" fontId="18" fillId="0" borderId="36" xfId="5" applyNumberFormat="1" applyFont="1" applyBorder="1" applyAlignment="1" applyProtection="1">
      <alignment horizontal="center" vertical="center"/>
    </xf>
    <xf numFmtId="164" fontId="12" fillId="0" borderId="5" xfId="2" applyNumberFormat="1" applyFont="1" applyFill="1" applyBorder="1" applyAlignment="1" applyProtection="1">
      <alignment horizontal="right"/>
    </xf>
    <xf numFmtId="164" fontId="0" fillId="0" borderId="5" xfId="2" applyNumberFormat="1" applyFont="1" applyBorder="1" applyAlignment="1">
      <alignment horizontal="center"/>
    </xf>
    <xf numFmtId="164" fontId="0" fillId="9" borderId="8" xfId="2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2" xfId="0" applyFont="1" applyBorder="1"/>
    <xf numFmtId="164" fontId="12" fillId="0" borderId="3" xfId="2" applyNumberFormat="1" applyFont="1" applyFill="1" applyBorder="1" applyAlignment="1" applyProtection="1">
      <alignment horizontal="center"/>
    </xf>
    <xf numFmtId="164" fontId="12" fillId="0" borderId="5" xfId="2" applyNumberFormat="1" applyFont="1" applyFill="1" applyBorder="1" applyAlignment="1" applyProtection="1">
      <alignment horizontal="center"/>
    </xf>
    <xf numFmtId="164" fontId="12" fillId="0" borderId="5" xfId="2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164" fontId="0" fillId="0" borderId="5" xfId="2" applyNumberFormat="1" applyFont="1" applyBorder="1" applyAlignment="1">
      <alignment horizontal="center" vertical="center"/>
    </xf>
    <xf numFmtId="164" fontId="0" fillId="4" borderId="5" xfId="2" applyNumberFormat="1" applyFont="1" applyFill="1" applyBorder="1" applyAlignment="1">
      <alignment horizontal="center" vertical="center"/>
    </xf>
    <xf numFmtId="2" fontId="0" fillId="4" borderId="5" xfId="2" applyNumberFormat="1" applyFont="1" applyFill="1" applyBorder="1" applyAlignment="1">
      <alignment horizontal="center" vertical="center"/>
    </xf>
    <xf numFmtId="164" fontId="12" fillId="0" borderId="3" xfId="2" applyNumberFormat="1" applyFont="1" applyFill="1" applyBorder="1" applyAlignment="1" applyProtection="1"/>
    <xf numFmtId="164" fontId="12" fillId="0" borderId="5" xfId="2" applyNumberFormat="1" applyFont="1" applyBorder="1" applyAlignment="1">
      <alignment horizontal="right"/>
    </xf>
    <xf numFmtId="2" fontId="14" fillId="0" borderId="8" xfId="0" applyNumberFormat="1" applyFont="1" applyBorder="1"/>
    <xf numFmtId="5" fontId="13" fillId="8" borderId="11" xfId="0" applyNumberFormat="1" applyFont="1" applyFill="1" applyBorder="1" applyAlignment="1" applyProtection="1">
      <alignment horizontal="right"/>
      <protection locked="0"/>
    </xf>
    <xf numFmtId="3" fontId="13" fillId="8" borderId="27" xfId="0" applyNumberFormat="1" applyFont="1" applyFill="1" applyBorder="1"/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0" borderId="0" xfId="4" applyFont="1" applyFill="1" applyBorder="1" applyAlignment="1" applyProtection="1">
      <alignment horizontal="center" vertical="center"/>
      <protection hidden="1"/>
    </xf>
    <xf numFmtId="0" fontId="7" fillId="0" borderId="0" xfId="4" applyFont="1" applyFill="1" applyBorder="1" applyAlignment="1" applyProtection="1">
      <alignment horizontal="center" vertical="center"/>
      <protection hidden="1"/>
    </xf>
    <xf numFmtId="0" fontId="7" fillId="0" borderId="7" xfId="4" applyFont="1" applyFill="1" applyBorder="1" applyAlignment="1" applyProtection="1">
      <alignment horizontal="center" vertical="center"/>
      <protection hidden="1"/>
    </xf>
    <xf numFmtId="2" fontId="14" fillId="0" borderId="8" xfId="1" applyNumberFormat="1" applyFont="1" applyBorder="1"/>
    <xf numFmtId="2" fontId="0" fillId="8" borderId="5" xfId="0" applyNumberFormat="1" applyFill="1" applyBorder="1" applyAlignment="1">
      <alignment horizontal="center" vertical="center"/>
    </xf>
    <xf numFmtId="10" fontId="0" fillId="0" borderId="0" xfId="2" applyNumberFormat="1" applyFont="1"/>
    <xf numFmtId="10" fontId="0" fillId="0" borderId="0" xfId="0" applyNumberFormat="1"/>
    <xf numFmtId="164" fontId="0" fillId="0" borderId="0" xfId="2" applyNumberFormat="1" applyFont="1"/>
    <xf numFmtId="164" fontId="0" fillId="9" borderId="5" xfId="2" applyNumberFormat="1" applyFont="1" applyFill="1" applyBorder="1" applyAlignment="1">
      <alignment horizontal="center"/>
    </xf>
    <xf numFmtId="43" fontId="0" fillId="0" borderId="0" xfId="1" applyFont="1"/>
    <xf numFmtId="164" fontId="0" fillId="0" borderId="0" xfId="0" applyNumberFormat="1"/>
    <xf numFmtId="0" fontId="0" fillId="9" borderId="7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17" fillId="9" borderId="37" xfId="0" applyFont="1" applyFill="1" applyBorder="1" applyAlignment="1">
      <alignment horizontal="center"/>
    </xf>
    <xf numFmtId="0" fontId="17" fillId="9" borderId="38" xfId="0" applyFont="1" applyFill="1" applyBorder="1" applyAlignment="1">
      <alignment horizontal="center"/>
    </xf>
    <xf numFmtId="0" fontId="17" fillId="9" borderId="40" xfId="0" applyFont="1" applyFill="1" applyBorder="1" applyAlignment="1">
      <alignment horizontal="center"/>
    </xf>
    <xf numFmtId="0" fontId="17" fillId="4" borderId="40" xfId="0" applyFont="1" applyFill="1" applyBorder="1" applyAlignment="1">
      <alignment horizontal="center"/>
    </xf>
    <xf numFmtId="0" fontId="17" fillId="4" borderId="38" xfId="0" applyFont="1" applyFill="1" applyBorder="1" applyAlignment="1">
      <alignment horizontal="center"/>
    </xf>
    <xf numFmtId="6" fontId="0" fillId="4" borderId="0" xfId="0" applyNumberFormat="1" applyFill="1" applyAlignment="1">
      <alignment horizontal="center"/>
    </xf>
    <xf numFmtId="0" fontId="0" fillId="4" borderId="5" xfId="0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0" xfId="2" applyNumberFormat="1" applyFont="1" applyFill="1" applyBorder="1" applyAlignment="1">
      <alignment horizontal="center" vertical="center"/>
    </xf>
    <xf numFmtId="10" fontId="0" fillId="4" borderId="5" xfId="2" applyNumberFormat="1" applyFon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0" fontId="17" fillId="4" borderId="37" xfId="0" applyFont="1" applyFill="1" applyBorder="1" applyAlignment="1">
      <alignment horizontal="center"/>
    </xf>
    <xf numFmtId="167" fontId="0" fillId="0" borderId="0" xfId="2" applyNumberFormat="1" applyFont="1" applyBorder="1" applyAlignment="1">
      <alignment horizontal="center"/>
    </xf>
    <xf numFmtId="167" fontId="0" fillId="0" borderId="5" xfId="2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0" fontId="3" fillId="2" borderId="1" xfId="3" applyFont="1" applyFill="1" applyBorder="1" applyAlignment="1" applyProtection="1">
      <alignment horizontal="center" vertical="center"/>
      <protection hidden="1"/>
    </xf>
    <xf numFmtId="0" fontId="3" fillId="2" borderId="2" xfId="3" applyFont="1" applyFill="1" applyBorder="1" applyAlignment="1" applyProtection="1">
      <alignment horizontal="center" vertical="center"/>
      <protection hidden="1"/>
    </xf>
    <xf numFmtId="0" fontId="3" fillId="2" borderId="3" xfId="3" applyFont="1" applyFill="1" applyBorder="1" applyAlignment="1" applyProtection="1">
      <alignment horizontal="center" vertical="center"/>
      <protection hidden="1"/>
    </xf>
    <xf numFmtId="0" fontId="3" fillId="2" borderId="4" xfId="3" applyFont="1" applyFill="1" applyBorder="1" applyAlignment="1" applyProtection="1">
      <alignment horizontal="center"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3" fillId="2" borderId="5" xfId="3" applyFont="1" applyFill="1" applyBorder="1" applyAlignment="1" applyProtection="1">
      <alignment horizontal="center" vertical="center"/>
      <protection hidden="1"/>
    </xf>
    <xf numFmtId="0" fontId="3" fillId="2" borderId="6" xfId="3" applyFont="1" applyFill="1" applyBorder="1" applyAlignment="1" applyProtection="1">
      <alignment horizontal="center" vertical="center"/>
      <protection hidden="1"/>
    </xf>
    <xf numFmtId="0" fontId="3" fillId="2" borderId="7" xfId="3" applyFont="1" applyFill="1" applyBorder="1" applyAlignment="1" applyProtection="1">
      <alignment horizontal="center" vertical="center"/>
      <protection hidden="1"/>
    </xf>
    <xf numFmtId="0" fontId="3" fillId="2" borderId="8" xfId="3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8" borderId="4" xfId="0" applyFill="1" applyBorder="1" applyAlignment="1">
      <alignment horizontal="center"/>
    </xf>
    <xf numFmtId="0" fontId="0" fillId="8" borderId="0" xfId="0" applyFill="1" applyAlignment="1">
      <alignment horizontal="center"/>
    </xf>
    <xf numFmtId="2" fontId="0" fillId="8" borderId="0" xfId="0" applyNumberFormat="1" applyFill="1" applyAlignment="1">
      <alignment horizontal="center"/>
    </xf>
    <xf numFmtId="2" fontId="0" fillId="8" borderId="5" xfId="0" applyNumberFormat="1" applyFill="1" applyBorder="1" applyAlignment="1">
      <alignment horizontal="center"/>
    </xf>
    <xf numFmtId="164" fontId="0" fillId="9" borderId="0" xfId="2" applyNumberFormat="1" applyFont="1" applyFill="1" applyBorder="1" applyAlignment="1">
      <alignment horizontal="center"/>
    </xf>
    <xf numFmtId="164" fontId="0" fillId="9" borderId="5" xfId="2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0" fillId="9" borderId="7" xfId="2" applyNumberFormat="1" applyFont="1" applyFill="1" applyBorder="1" applyAlignment="1">
      <alignment horizontal="center"/>
    </xf>
    <xf numFmtId="164" fontId="0" fillId="9" borderId="8" xfId="2" applyNumberFormat="1" applyFont="1" applyFill="1" applyBorder="1" applyAlignment="1">
      <alignment horizontal="center"/>
    </xf>
    <xf numFmtId="0" fontId="15" fillId="6" borderId="17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43" fontId="14" fillId="0" borderId="17" xfId="1" applyFont="1" applyBorder="1" applyAlignment="1" applyProtection="1">
      <alignment horizontal="center"/>
    </xf>
    <xf numFmtId="43" fontId="14" fillId="0" borderId="18" xfId="1" applyFont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15" fillId="6" borderId="14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164" fontId="17" fillId="4" borderId="38" xfId="0" applyNumberFormat="1" applyFont="1" applyFill="1" applyBorder="1" applyAlignment="1" applyProtection="1">
      <alignment horizontal="center"/>
      <protection locked="0"/>
    </xf>
    <xf numFmtId="164" fontId="17" fillId="4" borderId="39" xfId="0" applyNumberFormat="1" applyFont="1" applyFill="1" applyBorder="1" applyAlignment="1" applyProtection="1">
      <alignment horizontal="center"/>
      <protection locked="0"/>
    </xf>
    <xf numFmtId="164" fontId="17" fillId="4" borderId="39" xfId="0" applyNumberFormat="1" applyFont="1" applyFill="1" applyBorder="1" applyAlignment="1" applyProtection="1">
      <alignment horizontal="center" vertical="center"/>
      <protection locked="0"/>
    </xf>
    <xf numFmtId="164" fontId="17" fillId="4" borderId="38" xfId="2" applyNumberFormat="1" applyFont="1" applyFill="1" applyBorder="1" applyAlignment="1" applyProtection="1">
      <alignment horizontal="center"/>
      <protection locked="0"/>
    </xf>
    <xf numFmtId="164" fontId="17" fillId="4" borderId="39" xfId="2" applyNumberFormat="1" applyFont="1" applyFill="1" applyBorder="1" applyAlignment="1" applyProtection="1">
      <alignment horizontal="center"/>
      <protection locked="0"/>
    </xf>
    <xf numFmtId="164" fontId="17" fillId="4" borderId="39" xfId="2" applyNumberFormat="1" applyFont="1" applyFill="1" applyBorder="1" applyAlignment="1" applyProtection="1">
      <alignment horizontal="center" vertical="center"/>
      <protection locked="0"/>
    </xf>
    <xf numFmtId="164" fontId="17" fillId="9" borderId="38" xfId="2" applyNumberFormat="1" applyFont="1" applyFill="1" applyBorder="1" applyAlignment="1" applyProtection="1">
      <alignment horizontal="center"/>
      <protection locked="0"/>
    </xf>
    <xf numFmtId="164" fontId="17" fillId="9" borderId="39" xfId="2" applyNumberFormat="1" applyFont="1" applyFill="1" applyBorder="1" applyAlignment="1" applyProtection="1">
      <alignment horizontal="center"/>
      <protection locked="0"/>
    </xf>
    <xf numFmtId="164" fontId="17" fillId="9" borderId="39" xfId="2" applyNumberFormat="1" applyFont="1" applyFill="1" applyBorder="1" applyAlignment="1" applyProtection="1">
      <alignment horizontal="center" vertical="center"/>
      <protection locked="0"/>
    </xf>
  </cellXfs>
  <cellStyles count="6">
    <cellStyle name="Hipervínculo" xfId="4" builtinId="8"/>
    <cellStyle name="Millares" xfId="1" builtinId="3"/>
    <cellStyle name="Normal" xfId="0" builtinId="0"/>
    <cellStyle name="Normal_Estructura Definitiva T Naranja 40 MM 2" xfId="3" xr:uid="{A9661B2E-4095-4939-A632-9CA75F79E5F2}"/>
    <cellStyle name="Porcentaje" xfId="2" builtinId="5"/>
    <cellStyle name="Porcentaje 2" xfId="5" xr:uid="{E3E2E359-554D-4755-86B5-17B560766E5E}"/>
  </cellStyles>
  <dxfs count="0"/>
  <tableStyles count="0" defaultTableStyle="TableStyleMedium2" defaultPivotStyle="PivotStyleLight16"/>
  <colors>
    <mruColors>
      <color rgb="FFCE172E"/>
      <color rgb="FFB522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262466</xdr:colOff>
      <xdr:row>1</xdr:row>
      <xdr:rowOff>103716</xdr:rowOff>
    </xdr:from>
    <xdr:to>
      <xdr:col>8</xdr:col>
      <xdr:colOff>261778</xdr:colOff>
      <xdr:row>5</xdr:row>
      <xdr:rowOff>74083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C79300-208C-4366-9DB7-9B5AC69CB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5883" y="294216"/>
          <a:ext cx="1999562" cy="732367"/>
        </a:xfrm>
        <a:prstGeom prst="rect">
          <a:avLst/>
        </a:prstGeom>
      </xdr:spPr>
    </xdr:pic>
    <xdr:clientData/>
  </xdr:twoCellAnchor>
  <xdr:twoCellAnchor editAs="oneCell">
    <xdr:from>
      <xdr:col>2</xdr:col>
      <xdr:colOff>114728</xdr:colOff>
      <xdr:row>41</xdr:row>
      <xdr:rowOff>140758</xdr:rowOff>
    </xdr:from>
    <xdr:to>
      <xdr:col>3</xdr:col>
      <xdr:colOff>934588</xdr:colOff>
      <xdr:row>45</xdr:row>
      <xdr:rowOff>55919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60A1E9-EACC-498E-A0C9-8AD042384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728" y="7465483"/>
          <a:ext cx="1581860" cy="661285"/>
        </a:xfrm>
        <a:prstGeom prst="rect">
          <a:avLst/>
        </a:prstGeom>
      </xdr:spPr>
    </xdr:pic>
    <xdr:clientData/>
  </xdr:twoCellAnchor>
  <xdr:twoCellAnchor editAs="oneCell">
    <xdr:from>
      <xdr:col>1</xdr:col>
      <xdr:colOff>196850</xdr:colOff>
      <xdr:row>16</xdr:row>
      <xdr:rowOff>116416</xdr:rowOff>
    </xdr:from>
    <xdr:to>
      <xdr:col>1</xdr:col>
      <xdr:colOff>639536</xdr:colOff>
      <xdr:row>18</xdr:row>
      <xdr:rowOff>76289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7EB4638E-ADDD-42A6-B579-A5D9C180C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8850" y="3119966"/>
          <a:ext cx="445861" cy="340873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22</xdr:row>
      <xdr:rowOff>102658</xdr:rowOff>
    </xdr:from>
    <xdr:to>
      <xdr:col>1</xdr:col>
      <xdr:colOff>655411</xdr:colOff>
      <xdr:row>24</xdr:row>
      <xdr:rowOff>49831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487D9290-4B18-49CF-BBB3-56AEC9933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4179358"/>
          <a:ext cx="445861" cy="328173"/>
        </a:xfrm>
        <a:prstGeom prst="rect">
          <a:avLst/>
        </a:prstGeom>
      </xdr:spPr>
    </xdr:pic>
    <xdr:clientData/>
  </xdr:twoCellAnchor>
  <xdr:twoCellAnchor>
    <xdr:from>
      <xdr:col>3</xdr:col>
      <xdr:colOff>308428</xdr:colOff>
      <xdr:row>1</xdr:row>
      <xdr:rowOff>114300</xdr:rowOff>
    </xdr:from>
    <xdr:to>
      <xdr:col>6</xdr:col>
      <xdr:colOff>117465</xdr:colOff>
      <xdr:row>5</xdr:row>
      <xdr:rowOff>130853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080D90F-8819-4850-96D1-38C36BEE2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94428" y="295275"/>
          <a:ext cx="2961812" cy="740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26</xdr:row>
      <xdr:rowOff>190500</xdr:rowOff>
    </xdr:from>
    <xdr:to>
      <xdr:col>1</xdr:col>
      <xdr:colOff>636361</xdr:colOff>
      <xdr:row>28</xdr:row>
      <xdr:rowOff>77348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4FA3258-6385-4042-9F61-124B586AF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010150"/>
          <a:ext cx="436336" cy="315473"/>
        </a:xfrm>
        <a:prstGeom prst="rect">
          <a:avLst/>
        </a:prstGeom>
      </xdr:spPr>
    </xdr:pic>
    <xdr:clientData/>
  </xdr:twoCellAnchor>
  <xdr:twoCellAnchor editAs="oneCell">
    <xdr:from>
      <xdr:col>8</xdr:col>
      <xdr:colOff>389466</xdr:colOff>
      <xdr:row>0</xdr:row>
      <xdr:rowOff>61382</xdr:rowOff>
    </xdr:from>
    <xdr:to>
      <xdr:col>10</xdr:col>
      <xdr:colOff>719666</xdr:colOff>
      <xdr:row>6</xdr:row>
      <xdr:rowOff>14948</xdr:rowOff>
    </xdr:to>
    <xdr:pic>
      <xdr:nvPicPr>
        <xdr:cNvPr id="8" name="x_x_x_x_x_x_Imagen 6" descr="Logotipo&#10;&#10;Descripción generada automáticamente">
          <a:extLst>
            <a:ext uri="{FF2B5EF4-FFF2-40B4-BE49-F238E27FC236}">
              <a16:creationId xmlns:a16="http://schemas.microsoft.com/office/drawing/2014/main" id="{1ADD97A2-4686-643A-9AFA-D80458711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3133" y="61382"/>
          <a:ext cx="1949450" cy="10965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gcomercial\Fideicomisos\Total%20Assets\Total%20Assets%207\FF%20Total%20Assets%20Serie%20VII%20-%20Calculadora.xlsx" TargetMode="External"/><Relationship Id="rId1" Type="http://schemas.openxmlformats.org/officeDocument/2006/relationships/externalLinkPath" Target="file:///O:\gcomercial\Fideicomisos\Total%20Assets\Total%20Assets%207\FF%20Total%20Assets%20Serie%20VII%20-%20Calculado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VDFA"/>
      <sheetName val="VDFB"/>
      <sheetName val="VDFC"/>
      <sheetName val="Feriados"/>
    </sheetNames>
    <sheetDataSet>
      <sheetData sheetId="0"/>
      <sheetData sheetId="1"/>
      <sheetData sheetId="2"/>
      <sheetData sheetId="3"/>
      <sheetData sheetId="4">
        <row r="2">
          <cell r="A2">
            <v>44562</v>
          </cell>
        </row>
        <row r="3">
          <cell r="A3">
            <v>44620</v>
          </cell>
        </row>
        <row r="4">
          <cell r="A4">
            <v>44621</v>
          </cell>
        </row>
        <row r="5">
          <cell r="A5">
            <v>44644</v>
          </cell>
        </row>
        <row r="6">
          <cell r="A6">
            <v>44653</v>
          </cell>
        </row>
        <row r="7">
          <cell r="A7">
            <v>44665</v>
          </cell>
        </row>
        <row r="8">
          <cell r="A8">
            <v>44666</v>
          </cell>
        </row>
        <row r="9">
          <cell r="A9">
            <v>44682</v>
          </cell>
        </row>
        <row r="10">
          <cell r="A10">
            <v>44699</v>
          </cell>
        </row>
        <row r="11">
          <cell r="A11">
            <v>44706</v>
          </cell>
        </row>
        <row r="12">
          <cell r="A12">
            <v>44729</v>
          </cell>
        </row>
        <row r="13">
          <cell r="A13">
            <v>44732</v>
          </cell>
        </row>
        <row r="14">
          <cell r="A14">
            <v>44751</v>
          </cell>
        </row>
        <row r="15">
          <cell r="A15">
            <v>44788</v>
          </cell>
        </row>
        <row r="16">
          <cell r="A16">
            <v>44841</v>
          </cell>
        </row>
        <row r="17">
          <cell r="A17">
            <v>44844</v>
          </cell>
        </row>
        <row r="18">
          <cell r="A18">
            <v>44885</v>
          </cell>
        </row>
        <row r="19">
          <cell r="A19">
            <v>44886</v>
          </cell>
        </row>
        <row r="20">
          <cell r="A20">
            <v>44903</v>
          </cell>
        </row>
        <row r="21">
          <cell r="A21">
            <v>44904</v>
          </cell>
        </row>
        <row r="22">
          <cell r="A22">
            <v>44920</v>
          </cell>
        </row>
        <row r="23">
          <cell r="A23">
            <v>44927</v>
          </cell>
        </row>
        <row r="24">
          <cell r="A24">
            <v>44977</v>
          </cell>
        </row>
        <row r="25">
          <cell r="A25">
            <v>44978</v>
          </cell>
        </row>
        <row r="26">
          <cell r="A26">
            <v>45009</v>
          </cell>
        </row>
        <row r="27">
          <cell r="A27">
            <v>45018</v>
          </cell>
        </row>
        <row r="28">
          <cell r="A28">
            <v>45022</v>
          </cell>
        </row>
        <row r="29">
          <cell r="A29">
            <v>45023</v>
          </cell>
        </row>
        <row r="30">
          <cell r="A30">
            <v>45047</v>
          </cell>
        </row>
        <row r="31">
          <cell r="A31">
            <v>45071</v>
          </cell>
        </row>
        <row r="32">
          <cell r="A32">
            <v>45072</v>
          </cell>
        </row>
        <row r="33">
          <cell r="A33">
            <v>45094</v>
          </cell>
        </row>
        <row r="34">
          <cell r="A34">
            <v>45096</v>
          </cell>
        </row>
        <row r="35">
          <cell r="A35">
            <v>45097</v>
          </cell>
        </row>
        <row r="36">
          <cell r="A36">
            <v>45116</v>
          </cell>
        </row>
        <row r="37">
          <cell r="A37">
            <v>45159</v>
          </cell>
        </row>
        <row r="38">
          <cell r="A38">
            <v>45212</v>
          </cell>
        </row>
        <row r="39">
          <cell r="A39">
            <v>45215</v>
          </cell>
        </row>
        <row r="40">
          <cell r="A40">
            <v>45250</v>
          </cell>
        </row>
        <row r="41">
          <cell r="A41">
            <v>45268</v>
          </cell>
        </row>
        <row r="42">
          <cell r="A42">
            <v>45285</v>
          </cell>
        </row>
        <row r="43">
          <cell r="A43">
            <v>45292</v>
          </cell>
        </row>
        <row r="44">
          <cell r="A44">
            <v>45334</v>
          </cell>
        </row>
        <row r="45">
          <cell r="A45">
            <v>45335</v>
          </cell>
        </row>
        <row r="46">
          <cell r="A46">
            <v>45375</v>
          </cell>
        </row>
        <row r="47">
          <cell r="A47">
            <v>45379</v>
          </cell>
        </row>
        <row r="48">
          <cell r="A48">
            <v>45380</v>
          </cell>
        </row>
        <row r="49">
          <cell r="A49">
            <v>45383</v>
          </cell>
        </row>
        <row r="50">
          <cell r="A50">
            <v>45384</v>
          </cell>
        </row>
        <row r="51">
          <cell r="A51">
            <v>45413</v>
          </cell>
        </row>
        <row r="52">
          <cell r="A52">
            <v>45437</v>
          </cell>
        </row>
        <row r="53">
          <cell r="A53">
            <v>45460</v>
          </cell>
        </row>
        <row r="54">
          <cell r="A54">
            <v>45463</v>
          </cell>
        </row>
        <row r="55">
          <cell r="A55">
            <v>45464</v>
          </cell>
        </row>
        <row r="56">
          <cell r="A56">
            <v>45482</v>
          </cell>
        </row>
        <row r="57">
          <cell r="A57">
            <v>45521</v>
          </cell>
        </row>
        <row r="58">
          <cell r="A58">
            <v>45576</v>
          </cell>
        </row>
        <row r="59">
          <cell r="A59">
            <v>45577</v>
          </cell>
        </row>
        <row r="60">
          <cell r="A60">
            <v>45602</v>
          </cell>
        </row>
        <row r="61">
          <cell r="A61">
            <v>45614</v>
          </cell>
        </row>
        <row r="62">
          <cell r="A62">
            <v>45634</v>
          </cell>
        </row>
        <row r="63">
          <cell r="A63">
            <v>45650</v>
          </cell>
        </row>
        <row r="64">
          <cell r="A64">
            <v>45651</v>
          </cell>
        </row>
        <row r="65">
          <cell r="A65">
            <v>45657</v>
          </cell>
        </row>
        <row r="66">
          <cell r="A66">
            <v>45658</v>
          </cell>
        </row>
        <row r="67">
          <cell r="A67">
            <v>45719</v>
          </cell>
        </row>
        <row r="68">
          <cell r="A68">
            <v>45720</v>
          </cell>
        </row>
        <row r="69">
          <cell r="A69">
            <v>45740</v>
          </cell>
        </row>
        <row r="70">
          <cell r="A70">
            <v>45749</v>
          </cell>
        </row>
        <row r="71">
          <cell r="A71">
            <v>45764</v>
          </cell>
        </row>
        <row r="72">
          <cell r="A72">
            <v>45765</v>
          </cell>
        </row>
        <row r="73">
          <cell r="A73">
            <v>45778</v>
          </cell>
        </row>
        <row r="74">
          <cell r="A74">
            <v>45779</v>
          </cell>
        </row>
        <row r="75">
          <cell r="A75">
            <v>45802</v>
          </cell>
        </row>
        <row r="76">
          <cell r="A76">
            <v>45824</v>
          </cell>
        </row>
        <row r="77">
          <cell r="A77">
            <v>45828</v>
          </cell>
        </row>
        <row r="78">
          <cell r="A78">
            <v>45847</v>
          </cell>
        </row>
        <row r="79">
          <cell r="A79">
            <v>45884</v>
          </cell>
        </row>
        <row r="80">
          <cell r="A80">
            <v>45886</v>
          </cell>
        </row>
        <row r="81">
          <cell r="A81">
            <v>45940</v>
          </cell>
        </row>
        <row r="82">
          <cell r="A82">
            <v>45982</v>
          </cell>
        </row>
        <row r="83">
          <cell r="A83">
            <v>45985</v>
          </cell>
        </row>
        <row r="84">
          <cell r="A84">
            <v>45999</v>
          </cell>
        </row>
        <row r="85">
          <cell r="A85">
            <v>46015</v>
          </cell>
        </row>
        <row r="86">
          <cell r="A86">
            <v>46016</v>
          </cell>
        </row>
        <row r="87">
          <cell r="A87">
            <v>46023</v>
          </cell>
        </row>
        <row r="88">
          <cell r="A88">
            <v>46069</v>
          </cell>
        </row>
        <row r="89">
          <cell r="A89">
            <v>46070</v>
          </cell>
        </row>
        <row r="90">
          <cell r="A90">
            <v>46105</v>
          </cell>
        </row>
        <row r="91">
          <cell r="A91">
            <v>46114</v>
          </cell>
        </row>
        <row r="92">
          <cell r="A92">
            <v>46115</v>
          </cell>
        </row>
        <row r="93">
          <cell r="A93">
            <v>46143</v>
          </cell>
        </row>
        <row r="94">
          <cell r="A94">
            <v>46167</v>
          </cell>
        </row>
        <row r="95">
          <cell r="A95">
            <v>46188</v>
          </cell>
        </row>
        <row r="96">
          <cell r="A96">
            <v>46193</v>
          </cell>
        </row>
        <row r="97">
          <cell r="A97">
            <v>46212</v>
          </cell>
        </row>
        <row r="98">
          <cell r="A98">
            <v>46251</v>
          </cell>
        </row>
        <row r="99">
          <cell r="A99">
            <v>46303</v>
          </cell>
        </row>
        <row r="100">
          <cell r="A100">
            <v>46349</v>
          </cell>
        </row>
        <row r="101">
          <cell r="A101">
            <v>46364</v>
          </cell>
        </row>
        <row r="102">
          <cell r="A102">
            <v>46381</v>
          </cell>
        </row>
        <row r="103">
          <cell r="A103">
            <v>46388</v>
          </cell>
        </row>
        <row r="104">
          <cell r="A104">
            <v>46426</v>
          </cell>
        </row>
        <row r="105">
          <cell r="A105">
            <v>46427</v>
          </cell>
        </row>
        <row r="106">
          <cell r="A106">
            <v>46470</v>
          </cell>
        </row>
        <row r="107">
          <cell r="A107">
            <v>46472</v>
          </cell>
        </row>
        <row r="108">
          <cell r="A108">
            <v>46479</v>
          </cell>
        </row>
        <row r="109">
          <cell r="A109">
            <v>46508</v>
          </cell>
        </row>
        <row r="110">
          <cell r="A110">
            <v>46532</v>
          </cell>
        </row>
        <row r="111">
          <cell r="A111">
            <v>46558</v>
          </cell>
        </row>
        <row r="112">
          <cell r="A112">
            <v>46559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chavero@valo.ar" TargetMode="External"/><Relationship Id="rId2" Type="http://schemas.openxmlformats.org/officeDocument/2006/relationships/hyperlink" Target="http://www.valo.ar/" TargetMode="External"/><Relationship Id="rId1" Type="http://schemas.openxmlformats.org/officeDocument/2006/relationships/hyperlink" Target="mailto:jmontoya@valo.a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EED59-0426-4808-A7CB-42D14C221655}">
  <dimension ref="C7:L53"/>
  <sheetViews>
    <sheetView showGridLines="0" tabSelected="1" zoomScale="90" zoomScaleNormal="90" workbookViewId="0">
      <selection activeCell="E18" sqref="E18:F18"/>
    </sheetView>
  </sheetViews>
  <sheetFormatPr baseColWidth="10" defaultRowHeight="15" x14ac:dyDescent="0.25"/>
  <cols>
    <col min="4" max="4" width="18" customWidth="1"/>
    <col min="5" max="5" width="5.7109375" bestFit="1" customWidth="1"/>
    <col min="6" max="6" width="21.85546875" bestFit="1" customWidth="1"/>
    <col min="8" max="8" width="18.5703125" customWidth="1"/>
    <col min="9" max="9" width="12.85546875" bestFit="1" customWidth="1"/>
    <col min="11" max="11" width="18.140625" customWidth="1"/>
    <col min="12" max="12" width="11.85546875" bestFit="1" customWidth="1"/>
  </cols>
  <sheetData>
    <row r="7" spans="3:12" ht="15.75" thickBot="1" x14ac:dyDescent="0.3"/>
    <row r="8" spans="3:12" x14ac:dyDescent="0.25">
      <c r="C8" s="153" t="s">
        <v>74</v>
      </c>
      <c r="D8" s="154"/>
      <c r="E8" s="154"/>
      <c r="F8" s="154"/>
      <c r="G8" s="154"/>
      <c r="H8" s="154"/>
      <c r="I8" s="154"/>
      <c r="J8" s="154"/>
      <c r="K8" s="154"/>
      <c r="L8" s="155"/>
    </row>
    <row r="9" spans="3:12" x14ac:dyDescent="0.25">
      <c r="C9" s="156"/>
      <c r="D9" s="157"/>
      <c r="E9" s="157"/>
      <c r="F9" s="157"/>
      <c r="G9" s="157"/>
      <c r="H9" s="157"/>
      <c r="I9" s="157"/>
      <c r="J9" s="157"/>
      <c r="K9" s="157"/>
      <c r="L9" s="158"/>
    </row>
    <row r="10" spans="3:12" ht="15.75" thickBot="1" x14ac:dyDescent="0.3">
      <c r="C10" s="159"/>
      <c r="D10" s="160"/>
      <c r="E10" s="160"/>
      <c r="F10" s="160"/>
      <c r="G10" s="160"/>
      <c r="H10" s="160"/>
      <c r="I10" s="160"/>
      <c r="J10" s="160"/>
      <c r="K10" s="160"/>
      <c r="L10" s="161"/>
    </row>
    <row r="11" spans="3:12" ht="18.75" x14ac:dyDescent="0.25">
      <c r="C11" s="162" t="s">
        <v>0</v>
      </c>
      <c r="D11" s="163"/>
      <c r="E11" s="163"/>
      <c r="F11" s="164"/>
      <c r="G11" s="162" t="s">
        <v>1</v>
      </c>
      <c r="H11" s="163"/>
      <c r="I11" s="164"/>
      <c r="J11" s="163" t="s">
        <v>2</v>
      </c>
      <c r="K11" s="163"/>
      <c r="L11" s="164"/>
    </row>
    <row r="12" spans="3:12" x14ac:dyDescent="0.25">
      <c r="C12" s="142" t="s">
        <v>3</v>
      </c>
      <c r="D12" s="141"/>
      <c r="E12" s="132">
        <v>2222110310</v>
      </c>
      <c r="F12" s="133"/>
      <c r="G12" s="142" t="s">
        <v>3</v>
      </c>
      <c r="H12" s="141"/>
      <c r="I12" s="11">
        <v>73215550</v>
      </c>
      <c r="J12" s="141" t="s">
        <v>3</v>
      </c>
      <c r="K12" s="141"/>
      <c r="L12" s="11">
        <v>29286220</v>
      </c>
    </row>
    <row r="13" spans="3:12" x14ac:dyDescent="0.25">
      <c r="C13" s="122" t="s">
        <v>4</v>
      </c>
      <c r="D13" s="123"/>
      <c r="E13" s="165">
        <v>46132</v>
      </c>
      <c r="F13" s="150"/>
      <c r="G13" s="122" t="s">
        <v>4</v>
      </c>
      <c r="H13" s="123"/>
      <c r="I13" s="12">
        <f>+E13</f>
        <v>46132</v>
      </c>
      <c r="J13" s="123" t="s">
        <v>4</v>
      </c>
      <c r="K13" s="123"/>
      <c r="L13" s="12">
        <f>+I13</f>
        <v>46132</v>
      </c>
    </row>
    <row r="14" spans="3:12" x14ac:dyDescent="0.25">
      <c r="C14" s="142" t="s">
        <v>21</v>
      </c>
      <c r="D14" s="141"/>
      <c r="E14" s="134">
        <v>0.01</v>
      </c>
      <c r="F14" s="133"/>
      <c r="G14" s="142" t="s">
        <v>21</v>
      </c>
      <c r="H14" s="141"/>
      <c r="I14" s="13">
        <v>0.02</v>
      </c>
      <c r="J14" s="141" t="s">
        <v>21</v>
      </c>
      <c r="K14" s="141"/>
      <c r="L14" s="13">
        <v>0.03</v>
      </c>
    </row>
    <row r="15" spans="3:12" x14ac:dyDescent="0.25">
      <c r="C15" s="122" t="s">
        <v>51</v>
      </c>
      <c r="D15" s="123"/>
      <c r="E15" s="148">
        <f>IF(SUM(E14,E24)&lt;E16,E16,E14+E24)</f>
        <v>0.25</v>
      </c>
      <c r="F15" s="149"/>
      <c r="G15" s="122" t="s">
        <v>51</v>
      </c>
      <c r="H15" s="123"/>
      <c r="I15" s="93">
        <f>IF(SUM(I14,I24)&lt;I16,I16,I14+E24)</f>
        <v>0.26</v>
      </c>
      <c r="J15" s="123" t="s">
        <v>51</v>
      </c>
      <c r="K15" s="123"/>
      <c r="L15" s="93">
        <f>IF(SUM(L14,L24)&lt;L16,L16,L14+E24)</f>
        <v>0.27</v>
      </c>
    </row>
    <row r="16" spans="3:12" x14ac:dyDescent="0.25">
      <c r="C16" s="142" t="s">
        <v>52</v>
      </c>
      <c r="D16" s="141"/>
      <c r="E16" s="135">
        <v>0.25</v>
      </c>
      <c r="F16" s="136"/>
      <c r="G16" s="142" t="s">
        <v>52</v>
      </c>
      <c r="H16" s="141"/>
      <c r="I16" s="76">
        <v>0.26</v>
      </c>
      <c r="J16" s="141" t="s">
        <v>52</v>
      </c>
      <c r="K16" s="141"/>
      <c r="L16" s="76">
        <v>0.27</v>
      </c>
    </row>
    <row r="17" spans="3:12" ht="15.75" thickBot="1" x14ac:dyDescent="0.3">
      <c r="C17" s="122" t="s">
        <v>53</v>
      </c>
      <c r="D17" s="123"/>
      <c r="E17" s="146">
        <v>0.5</v>
      </c>
      <c r="F17" s="147"/>
      <c r="G17" s="122" t="s">
        <v>53</v>
      </c>
      <c r="H17" s="123"/>
      <c r="I17" s="14">
        <v>0.51</v>
      </c>
      <c r="J17" s="123" t="s">
        <v>53</v>
      </c>
      <c r="K17" s="123"/>
      <c r="L17" s="14">
        <v>0.52</v>
      </c>
    </row>
    <row r="18" spans="3:12" ht="15.75" thickBot="1" x14ac:dyDescent="0.3">
      <c r="C18" s="143" t="s">
        <v>54</v>
      </c>
      <c r="D18" s="131"/>
      <c r="E18" s="195">
        <v>0.31</v>
      </c>
      <c r="F18" s="196"/>
      <c r="G18" s="143" t="s">
        <v>54</v>
      </c>
      <c r="H18" s="131"/>
      <c r="I18" s="197">
        <v>0.31</v>
      </c>
      <c r="J18" s="130" t="s">
        <v>54</v>
      </c>
      <c r="K18" s="131"/>
      <c r="L18" s="197">
        <v>0.31</v>
      </c>
    </row>
    <row r="19" spans="3:12" x14ac:dyDescent="0.25">
      <c r="C19" s="122" t="s">
        <v>55</v>
      </c>
      <c r="D19" s="123"/>
      <c r="E19" s="144">
        <f>+VDFA!K7</f>
        <v>0.99895738940159295</v>
      </c>
      <c r="F19" s="145"/>
      <c r="G19" s="122" t="s">
        <v>55</v>
      </c>
      <c r="H19" s="123"/>
      <c r="I19" s="100">
        <f>+VDFB!L7</f>
        <v>0.99050250651689453</v>
      </c>
      <c r="J19" s="123" t="s">
        <v>55</v>
      </c>
      <c r="K19" s="123"/>
      <c r="L19" s="100">
        <f>+VDFC!M7</f>
        <v>0.99520541337060264</v>
      </c>
    </row>
    <row r="20" spans="3:12" x14ac:dyDescent="0.25">
      <c r="C20" s="142" t="s">
        <v>6</v>
      </c>
      <c r="D20" s="141"/>
      <c r="E20" s="137">
        <f>+VDFA!K8</f>
        <v>0.32344173789024355</v>
      </c>
      <c r="F20" s="138"/>
      <c r="G20" s="142" t="s">
        <v>6</v>
      </c>
      <c r="H20" s="141"/>
      <c r="I20" s="101">
        <f>+VDFB!L8</f>
        <v>0.31606402993202221</v>
      </c>
      <c r="J20" s="141" t="s">
        <v>6</v>
      </c>
      <c r="K20" s="141"/>
      <c r="L20" s="101">
        <f>+VDFC!M8</f>
        <v>0.31603532433509818</v>
      </c>
    </row>
    <row r="21" spans="3:12" x14ac:dyDescent="0.25">
      <c r="C21" s="122" t="s">
        <v>7</v>
      </c>
      <c r="D21" s="123"/>
      <c r="E21" s="151">
        <f>+VDFA!K9</f>
        <v>0.28353351064007093</v>
      </c>
      <c r="F21" s="152"/>
      <c r="G21" s="122" t="s">
        <v>7</v>
      </c>
      <c r="H21" s="123"/>
      <c r="I21" s="100">
        <f>+VDFB!L9</f>
        <v>0.2778125246337968</v>
      </c>
      <c r="J21" s="123" t="s">
        <v>7</v>
      </c>
      <c r="K21" s="123"/>
      <c r="L21" s="100">
        <f>+VDFC!M9</f>
        <v>0.2777902077446468</v>
      </c>
    </row>
    <row r="22" spans="3:12" x14ac:dyDescent="0.25">
      <c r="C22" s="142" t="s">
        <v>56</v>
      </c>
      <c r="D22" s="141"/>
      <c r="E22" s="139">
        <f>+VDFA!K11</f>
        <v>3.1107059226745521</v>
      </c>
      <c r="F22" s="140"/>
      <c r="G22" s="142" t="s">
        <v>56</v>
      </c>
      <c r="H22" s="141"/>
      <c r="I22" s="102">
        <f>+VDFB!L11</f>
        <v>6.3666666666666671</v>
      </c>
      <c r="J22" s="141" t="s">
        <v>56</v>
      </c>
      <c r="K22" s="141"/>
      <c r="L22" s="102">
        <f>+VDFC!M11</f>
        <v>6.3666666666666671</v>
      </c>
    </row>
    <row r="23" spans="3:12" ht="15.75" thickBot="1" x14ac:dyDescent="0.3">
      <c r="C23" s="122" t="s">
        <v>66</v>
      </c>
      <c r="D23" s="123"/>
      <c r="E23" s="123" t="s">
        <v>68</v>
      </c>
      <c r="F23" s="150"/>
      <c r="G23" s="122" t="s">
        <v>66</v>
      </c>
      <c r="H23" s="123"/>
      <c r="I23" s="89" t="s">
        <v>69</v>
      </c>
      <c r="J23" s="123" t="s">
        <v>66</v>
      </c>
      <c r="K23" s="123"/>
      <c r="L23" s="88" t="s">
        <v>70</v>
      </c>
    </row>
    <row r="24" spans="3:12" ht="15.75" thickBot="1" x14ac:dyDescent="0.3">
      <c r="C24" s="143" t="s">
        <v>9</v>
      </c>
      <c r="D24" s="131"/>
      <c r="E24" s="198">
        <v>0.22875000000000001</v>
      </c>
      <c r="F24" s="199"/>
      <c r="G24" s="143" t="s">
        <v>9</v>
      </c>
      <c r="H24" s="131"/>
      <c r="I24" s="200">
        <f>+E24</f>
        <v>0.22875000000000001</v>
      </c>
      <c r="J24" s="130" t="s">
        <v>9</v>
      </c>
      <c r="K24" s="131"/>
      <c r="L24" s="200">
        <f>+I24</f>
        <v>0.22875000000000001</v>
      </c>
    </row>
    <row r="25" spans="3:12" x14ac:dyDescent="0.25">
      <c r="C25" s="122" t="s">
        <v>57</v>
      </c>
      <c r="D25" s="123"/>
      <c r="E25" s="148">
        <f>+E21-E24</f>
        <v>5.478351064007092E-2</v>
      </c>
      <c r="F25" s="149"/>
      <c r="G25" s="122" t="s">
        <v>57</v>
      </c>
      <c r="H25" s="123"/>
      <c r="I25" s="93">
        <f>+I21-I24</f>
        <v>4.9062524633796789E-2</v>
      </c>
      <c r="J25" s="123" t="s">
        <v>57</v>
      </c>
      <c r="K25" s="123"/>
      <c r="L25" s="93">
        <f>+L21-L24</f>
        <v>4.9040207744646791E-2</v>
      </c>
    </row>
    <row r="26" spans="3:12" x14ac:dyDescent="0.25">
      <c r="C26" s="168" t="s">
        <v>64</v>
      </c>
      <c r="D26" s="169"/>
      <c r="E26" s="170">
        <f>+VDFA!M10</f>
        <v>191</v>
      </c>
      <c r="F26" s="171"/>
      <c r="G26" s="168" t="s">
        <v>64</v>
      </c>
      <c r="H26" s="169"/>
      <c r="I26" s="114">
        <f>+VDFB!N10</f>
        <v>191</v>
      </c>
      <c r="J26" s="168" t="s">
        <v>64</v>
      </c>
      <c r="K26" s="169"/>
      <c r="L26" s="114">
        <f>+VDFC!P9</f>
        <v>191</v>
      </c>
    </row>
    <row r="27" spans="3:12" ht="19.5" thickBot="1" x14ac:dyDescent="0.3">
      <c r="C27" s="174"/>
      <c r="D27" s="175"/>
      <c r="E27" s="175"/>
      <c r="F27" s="176"/>
      <c r="G27" s="174"/>
      <c r="H27" s="175"/>
      <c r="I27" s="176"/>
      <c r="J27" s="175"/>
      <c r="K27" s="175"/>
      <c r="L27" s="176"/>
    </row>
    <row r="28" spans="3:12" ht="15.75" thickBot="1" x14ac:dyDescent="0.3">
      <c r="C28" s="127" t="s">
        <v>58</v>
      </c>
      <c r="D28" s="128"/>
      <c r="E28" s="201">
        <v>5.478351064007092E-2</v>
      </c>
      <c r="F28" s="202"/>
      <c r="G28" s="127" t="s">
        <v>58</v>
      </c>
      <c r="H28" s="128"/>
      <c r="I28" s="203">
        <v>4.9062524633796789E-2</v>
      </c>
      <c r="J28" s="129" t="s">
        <v>58</v>
      </c>
      <c r="K28" s="128"/>
      <c r="L28" s="203">
        <v>4.9040207744646791E-2</v>
      </c>
    </row>
    <row r="29" spans="3:12" x14ac:dyDescent="0.25">
      <c r="C29" s="122" t="s">
        <v>7</v>
      </c>
      <c r="D29" s="123"/>
      <c r="E29" s="151">
        <f>+E28+E24</f>
        <v>0.28353351064007093</v>
      </c>
      <c r="F29" s="152"/>
      <c r="G29" s="122" t="s">
        <v>7</v>
      </c>
      <c r="H29" s="123"/>
      <c r="I29" s="91">
        <f>+I28+I24</f>
        <v>0.2778125246337968</v>
      </c>
      <c r="J29" s="123" t="s">
        <v>7</v>
      </c>
      <c r="K29" s="123"/>
      <c r="L29" s="91">
        <f>+L28+L24</f>
        <v>0.2777902077446468</v>
      </c>
    </row>
    <row r="30" spans="3:12" ht="14.45" customHeight="1" x14ac:dyDescent="0.25">
      <c r="C30" s="125" t="s">
        <v>59</v>
      </c>
      <c r="D30" s="126"/>
      <c r="E30" s="172">
        <f>+(1+E29/360*30)^(360/30)-1</f>
        <v>0.32344173789024389</v>
      </c>
      <c r="F30" s="173"/>
      <c r="G30" s="125" t="s">
        <v>59</v>
      </c>
      <c r="H30" s="126"/>
      <c r="I30" s="118">
        <f>+(1+I29/360*30)^(360/30)-1</f>
        <v>0.31606402993202121</v>
      </c>
      <c r="J30" s="126" t="s">
        <v>59</v>
      </c>
      <c r="K30" s="126"/>
      <c r="L30" s="118">
        <f>+(1+L29/360*30)^(360/30)-1</f>
        <v>0.31603532433509796</v>
      </c>
    </row>
    <row r="31" spans="3:12" x14ac:dyDescent="0.25">
      <c r="C31" s="122" t="s">
        <v>5</v>
      </c>
      <c r="D31" s="123"/>
      <c r="E31" s="151">
        <f>+XNPV(E30,VDFA!F57:F65,VDFA!E57:E65)/Calculadora!E12</f>
        <v>0.99895738859977312</v>
      </c>
      <c r="F31" s="152"/>
      <c r="G31" s="122" t="s">
        <v>5</v>
      </c>
      <c r="H31" s="123"/>
      <c r="I31" s="91">
        <f>+XNPV(I30,VDFB!E58:E60,VDFB!D58:D60)/Calculadora!I12</f>
        <v>0.99050250790559335</v>
      </c>
      <c r="J31" s="123" t="s">
        <v>5</v>
      </c>
      <c r="K31" s="123"/>
      <c r="L31" s="91">
        <f>+XNPV(L30,VDFC!F60:F62,VDFC!E60:E62)/VDFC!D6</f>
        <v>0.99520541236566684</v>
      </c>
    </row>
    <row r="32" spans="3:12" ht="15.75" thickBot="1" x14ac:dyDescent="0.3">
      <c r="C32" s="124" t="s">
        <v>54</v>
      </c>
      <c r="D32" s="121"/>
      <c r="E32" s="177">
        <f>+XIRR(VDFA!H57:H67,VDFA!G57:G67,0)</f>
        <v>0.31000000488281254</v>
      </c>
      <c r="F32" s="178"/>
      <c r="G32" s="124" t="s">
        <v>54</v>
      </c>
      <c r="H32" s="121"/>
      <c r="I32" s="92">
        <f>+XIRR(VDFB!G58:G60,VDFB!F58:F60,0)</f>
        <v>0.30999999511718757</v>
      </c>
      <c r="J32" s="121" t="s">
        <v>54</v>
      </c>
      <c r="K32" s="121"/>
      <c r="L32" s="92">
        <f>+XIRR(VDFC!H60:H61,VDFC!G60:G61,0)</f>
        <v>0.31000000488281254</v>
      </c>
    </row>
    <row r="33" spans="3:12" ht="14.45" customHeight="1" x14ac:dyDescent="0.25">
      <c r="C33" s="166" t="s">
        <v>18</v>
      </c>
      <c r="D33" s="166"/>
      <c r="E33" s="166"/>
      <c r="F33" s="166"/>
      <c r="G33" s="166"/>
      <c r="H33" s="166"/>
      <c r="I33" s="166"/>
      <c r="J33" s="166"/>
      <c r="K33" s="166"/>
      <c r="L33" s="166"/>
    </row>
    <row r="34" spans="3:12" ht="14.45" customHeight="1" x14ac:dyDescent="0.25">
      <c r="C34" s="167"/>
      <c r="D34" s="167"/>
      <c r="E34" s="167"/>
      <c r="F34" s="167"/>
      <c r="G34" s="167"/>
      <c r="H34" s="167"/>
      <c r="I34" s="167"/>
      <c r="J34" s="167"/>
      <c r="K34" s="167"/>
      <c r="L34" s="167"/>
    </row>
    <row r="35" spans="3:12" ht="14.45" customHeight="1" x14ac:dyDescent="0.25">
      <c r="C35" s="167"/>
      <c r="D35" s="167"/>
      <c r="E35" s="167"/>
      <c r="F35" s="167"/>
      <c r="G35" s="167"/>
      <c r="H35" s="167"/>
      <c r="I35" s="167"/>
      <c r="J35" s="167"/>
      <c r="K35" s="167"/>
      <c r="L35" s="167"/>
    </row>
    <row r="36" spans="3:12" ht="14.45" customHeight="1" x14ac:dyDescent="0.25">
      <c r="C36" s="167"/>
      <c r="D36" s="167"/>
      <c r="E36" s="167"/>
      <c r="F36" s="167"/>
      <c r="G36" s="167"/>
      <c r="H36" s="167"/>
      <c r="I36" s="167"/>
      <c r="J36" s="167"/>
      <c r="K36" s="167"/>
      <c r="L36" s="167"/>
    </row>
    <row r="37" spans="3:12" ht="16.5" customHeight="1" x14ac:dyDescent="0.25">
      <c r="C37" s="167"/>
      <c r="D37" s="167"/>
      <c r="E37" s="167"/>
      <c r="F37" s="167"/>
      <c r="G37" s="167"/>
      <c r="H37" s="167"/>
      <c r="I37" s="167"/>
      <c r="J37" s="167"/>
      <c r="K37" s="167"/>
      <c r="L37" s="167"/>
    </row>
    <row r="38" spans="3:12" x14ac:dyDescent="0.25">
      <c r="C38" s="167"/>
      <c r="D38" s="167"/>
      <c r="E38" s="167"/>
      <c r="F38" s="167"/>
      <c r="G38" s="167"/>
      <c r="H38" s="167"/>
      <c r="I38" s="167"/>
      <c r="J38" s="167"/>
      <c r="K38" s="167"/>
      <c r="L38" s="167"/>
    </row>
    <row r="41" spans="3:12" ht="15.75" thickBot="1" x14ac:dyDescent="0.3"/>
    <row r="42" spans="3:12" ht="15.75" x14ac:dyDescent="0.25">
      <c r="C42" s="4"/>
      <c r="D42" s="6"/>
      <c r="E42" s="7"/>
      <c r="F42" s="7"/>
      <c r="G42" s="8"/>
    </row>
    <row r="43" spans="3:12" x14ac:dyDescent="0.25">
      <c r="C43" s="2"/>
      <c r="E43" s="5"/>
      <c r="F43" s="108" t="s">
        <v>10</v>
      </c>
      <c r="G43" s="87"/>
    </row>
    <row r="44" spans="3:12" x14ac:dyDescent="0.25">
      <c r="C44" s="2"/>
      <c r="F44" s="108" t="s">
        <v>11</v>
      </c>
      <c r="G44" s="86"/>
    </row>
    <row r="45" spans="3:12" x14ac:dyDescent="0.25">
      <c r="C45" s="2"/>
      <c r="E45" s="5"/>
      <c r="F45" s="109"/>
      <c r="G45" s="9"/>
    </row>
    <row r="46" spans="3:12" x14ac:dyDescent="0.25">
      <c r="C46" s="2"/>
      <c r="E46" s="5"/>
      <c r="F46" s="109" t="s">
        <v>12</v>
      </c>
      <c r="G46" s="72"/>
    </row>
    <row r="47" spans="3:12" x14ac:dyDescent="0.25">
      <c r="C47" s="2"/>
      <c r="E47" s="5"/>
      <c r="F47" s="110" t="s">
        <v>13</v>
      </c>
      <c r="G47" s="73"/>
    </row>
    <row r="48" spans="3:12" x14ac:dyDescent="0.25">
      <c r="C48" s="2"/>
      <c r="E48" s="5"/>
      <c r="F48" s="110" t="s">
        <v>14</v>
      </c>
      <c r="G48" s="73"/>
    </row>
    <row r="49" spans="3:7" x14ac:dyDescent="0.25">
      <c r="C49" s="2"/>
      <c r="E49" s="5"/>
      <c r="F49" s="111"/>
      <c r="G49" s="9"/>
    </row>
    <row r="50" spans="3:7" x14ac:dyDescent="0.25">
      <c r="C50" s="2"/>
      <c r="E50" s="5"/>
      <c r="F50" s="109" t="s">
        <v>15</v>
      </c>
      <c r="G50" s="72"/>
    </row>
    <row r="51" spans="3:7" x14ac:dyDescent="0.25">
      <c r="C51" s="2"/>
      <c r="E51" s="5"/>
      <c r="F51" s="109" t="s">
        <v>16</v>
      </c>
      <c r="G51" s="72"/>
    </row>
    <row r="52" spans="3:7" x14ac:dyDescent="0.25">
      <c r="C52" s="2"/>
      <c r="E52" s="5"/>
      <c r="F52" s="109"/>
      <c r="G52" s="9"/>
    </row>
    <row r="53" spans="3:7" ht="15.75" thickBot="1" x14ac:dyDescent="0.3">
      <c r="C53" s="3"/>
      <c r="D53" s="1"/>
      <c r="E53" s="10"/>
      <c r="F53" s="112" t="s">
        <v>17</v>
      </c>
      <c r="G53" s="74"/>
    </row>
  </sheetData>
  <sheetProtection sheet="1" objects="1" scenarios="1" selectLockedCells="1"/>
  <mergeCells count="88">
    <mergeCell ref="C33:L38"/>
    <mergeCell ref="C26:D26"/>
    <mergeCell ref="G26:H26"/>
    <mergeCell ref="J26:K26"/>
    <mergeCell ref="E26:F26"/>
    <mergeCell ref="E29:F29"/>
    <mergeCell ref="E30:F30"/>
    <mergeCell ref="C27:F27"/>
    <mergeCell ref="G27:I27"/>
    <mergeCell ref="J27:L27"/>
    <mergeCell ref="C29:D29"/>
    <mergeCell ref="C30:D30"/>
    <mergeCell ref="E28:F28"/>
    <mergeCell ref="E31:F31"/>
    <mergeCell ref="E32:F32"/>
    <mergeCell ref="C28:D28"/>
    <mergeCell ref="C13:D13"/>
    <mergeCell ref="E13:F13"/>
    <mergeCell ref="C14:D14"/>
    <mergeCell ref="C16:D16"/>
    <mergeCell ref="C15:D15"/>
    <mergeCell ref="E15:F15"/>
    <mergeCell ref="G13:H13"/>
    <mergeCell ref="G14:H14"/>
    <mergeCell ref="G15:H15"/>
    <mergeCell ref="G16:H16"/>
    <mergeCell ref="G17:H17"/>
    <mergeCell ref="C8:L10"/>
    <mergeCell ref="C11:F11"/>
    <mergeCell ref="G11:I11"/>
    <mergeCell ref="J11:L11"/>
    <mergeCell ref="C12:D12"/>
    <mergeCell ref="G12:H12"/>
    <mergeCell ref="J12:K12"/>
    <mergeCell ref="C23:D23"/>
    <mergeCell ref="C24:D24"/>
    <mergeCell ref="G25:H25"/>
    <mergeCell ref="G21:H21"/>
    <mergeCell ref="G22:H22"/>
    <mergeCell ref="G23:H23"/>
    <mergeCell ref="G24:H24"/>
    <mergeCell ref="E25:F25"/>
    <mergeCell ref="E23:F23"/>
    <mergeCell ref="E21:F21"/>
    <mergeCell ref="C25:D25"/>
    <mergeCell ref="C21:D21"/>
    <mergeCell ref="J14:K14"/>
    <mergeCell ref="J15:K15"/>
    <mergeCell ref="J16:K16"/>
    <mergeCell ref="J22:K22"/>
    <mergeCell ref="C22:D22"/>
    <mergeCell ref="C17:D17"/>
    <mergeCell ref="C18:D18"/>
    <mergeCell ref="G18:H18"/>
    <mergeCell ref="G19:H19"/>
    <mergeCell ref="G20:H20"/>
    <mergeCell ref="C19:D19"/>
    <mergeCell ref="C20:D20"/>
    <mergeCell ref="E19:F19"/>
    <mergeCell ref="E17:F17"/>
    <mergeCell ref="J23:K23"/>
    <mergeCell ref="J24:K24"/>
    <mergeCell ref="J25:K25"/>
    <mergeCell ref="E12:F12"/>
    <mergeCell ref="E14:F14"/>
    <mergeCell ref="E16:F16"/>
    <mergeCell ref="E18:F18"/>
    <mergeCell ref="E20:F20"/>
    <mergeCell ref="E22:F22"/>
    <mergeCell ref="E24:F24"/>
    <mergeCell ref="J17:K17"/>
    <mergeCell ref="J18:K18"/>
    <mergeCell ref="J19:K19"/>
    <mergeCell ref="J20:K20"/>
    <mergeCell ref="J21:K21"/>
    <mergeCell ref="J13:K13"/>
    <mergeCell ref="G28:H28"/>
    <mergeCell ref="J28:K28"/>
    <mergeCell ref="J29:K29"/>
    <mergeCell ref="J30:K30"/>
    <mergeCell ref="J31:K31"/>
    <mergeCell ref="J32:K32"/>
    <mergeCell ref="C31:D31"/>
    <mergeCell ref="C32:D32"/>
    <mergeCell ref="G29:H29"/>
    <mergeCell ref="G30:H30"/>
    <mergeCell ref="G31:H31"/>
    <mergeCell ref="G32:H32"/>
  </mergeCells>
  <hyperlinks>
    <hyperlink ref="F47" r:id="rId1" xr:uid="{2FC3F5C2-F290-436F-8DCA-28BA50B1A7D0}"/>
    <hyperlink ref="F53" r:id="rId2" xr:uid="{57CECB25-63BC-430A-9151-424596A60CB5}"/>
    <hyperlink ref="F48" r:id="rId3" xr:uid="{C9C5B7B4-ED1B-4470-8B5A-88F243154637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9D79-FD1C-403B-8E95-1D998C3B6C6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81922-E09C-4CA9-A792-B9930CCE4FB8}">
  <dimension ref="B5:AH67"/>
  <sheetViews>
    <sheetView showGridLines="0" zoomScale="90" zoomScaleNormal="90" workbookViewId="0">
      <selection activeCell="I29" sqref="I29"/>
    </sheetView>
  </sheetViews>
  <sheetFormatPr baseColWidth="10" defaultRowHeight="15" x14ac:dyDescent="0.25"/>
  <cols>
    <col min="2" max="2" width="14.140625" bestFit="1" customWidth="1"/>
    <col min="4" max="4" width="14.28515625" bestFit="1" customWidth="1"/>
    <col min="5" max="5" width="11.5703125" bestFit="1" customWidth="1"/>
    <col min="6" max="6" width="25.42578125" bestFit="1" customWidth="1"/>
    <col min="7" max="7" width="16.42578125" bestFit="1" customWidth="1"/>
    <col min="8" max="8" width="17" bestFit="1" customWidth="1"/>
    <col min="9" max="9" width="12.85546875" bestFit="1" customWidth="1"/>
    <col min="10" max="10" width="13.85546875" bestFit="1" customWidth="1"/>
    <col min="11" max="11" width="11.140625" bestFit="1" customWidth="1"/>
    <col min="12" max="12" width="30.28515625" bestFit="1" customWidth="1"/>
    <col min="13" max="13" width="17" bestFit="1" customWidth="1"/>
    <col min="14" max="14" width="15.140625" bestFit="1" customWidth="1"/>
    <col min="15" max="15" width="12.85546875" bestFit="1" customWidth="1"/>
    <col min="17" max="17" width="12.85546875" bestFit="1" customWidth="1"/>
    <col min="18" max="18" width="12.42578125" bestFit="1" customWidth="1"/>
    <col min="19" max="19" width="14.7109375" bestFit="1" customWidth="1"/>
    <col min="20" max="20" width="12.85546875" bestFit="1" customWidth="1"/>
    <col min="21" max="21" width="14.7109375" customWidth="1"/>
    <col min="22" max="22" width="12.85546875" bestFit="1" customWidth="1"/>
    <col min="23" max="23" width="15.140625" bestFit="1" customWidth="1"/>
    <col min="24" max="24" width="12.85546875" bestFit="1" customWidth="1"/>
    <col min="25" max="25" width="12.140625" bestFit="1" customWidth="1"/>
    <col min="30" max="30" width="12.140625" bestFit="1" customWidth="1"/>
  </cols>
  <sheetData>
    <row r="5" spans="2:34" ht="15.75" thickBot="1" x14ac:dyDescent="0.3"/>
    <row r="6" spans="2:34" x14ac:dyDescent="0.25">
      <c r="B6" s="188" t="s">
        <v>19</v>
      </c>
      <c r="C6" s="189"/>
      <c r="D6" s="106">
        <f>+Calculadora!E12</f>
        <v>2222110310</v>
      </c>
      <c r="F6" s="190" t="s">
        <v>22</v>
      </c>
      <c r="G6" s="191"/>
      <c r="I6" s="182" t="s">
        <v>54</v>
      </c>
      <c r="J6" s="183"/>
      <c r="K6" s="103">
        <f>+Calculadora!E18</f>
        <v>0.31</v>
      </c>
    </row>
    <row r="7" spans="2:34" x14ac:dyDescent="0.25">
      <c r="B7" s="15" t="s">
        <v>20</v>
      </c>
      <c r="C7" s="16"/>
      <c r="D7" s="17">
        <f>+Calculadora!E24</f>
        <v>0.22875000000000001</v>
      </c>
      <c r="F7" s="24" t="s">
        <v>25</v>
      </c>
      <c r="G7" s="25" t="s">
        <v>26</v>
      </c>
      <c r="I7" s="184" t="s">
        <v>55</v>
      </c>
      <c r="J7" s="185"/>
      <c r="K7" s="90">
        <f>+XNPV(K6,U15:U22,R15:R22)/D6</f>
        <v>0.99895738940159295</v>
      </c>
    </row>
    <row r="8" spans="2:34" x14ac:dyDescent="0.25">
      <c r="B8" s="15" t="s">
        <v>21</v>
      </c>
      <c r="C8" s="16"/>
      <c r="D8" s="18">
        <f>+Calculadora!E14</f>
        <v>0.01</v>
      </c>
      <c r="F8" s="26">
        <f>+Calculadora!E16</f>
        <v>0.25</v>
      </c>
      <c r="G8" s="27">
        <f>+Calculadora!E17</f>
        <v>0.5</v>
      </c>
      <c r="I8" s="184" t="s">
        <v>6</v>
      </c>
      <c r="J8" s="185"/>
      <c r="K8" s="90">
        <f>+XIRR(M14:M25,R14:R25)</f>
        <v>0.32344173789024355</v>
      </c>
      <c r="L8" s="116"/>
    </row>
    <row r="9" spans="2:34" x14ac:dyDescent="0.25">
      <c r="B9" s="15" t="s">
        <v>22</v>
      </c>
      <c r="C9" s="16"/>
      <c r="D9" s="19">
        <f>+IF(SUM(D7:D8)&lt;F8,F8,SUM(D7:D8))</f>
        <v>0.25</v>
      </c>
      <c r="I9" s="184" t="s">
        <v>7</v>
      </c>
      <c r="J9" s="185"/>
      <c r="K9" s="104">
        <f>((1+K8)^(30/360)-1)*360/30</f>
        <v>0.28353351064007093</v>
      </c>
    </row>
    <row r="10" spans="2:34" x14ac:dyDescent="0.25">
      <c r="B10" s="15" t="s">
        <v>23</v>
      </c>
      <c r="C10" s="16"/>
      <c r="D10" s="20">
        <v>360</v>
      </c>
      <c r="I10" s="184" t="s">
        <v>60</v>
      </c>
      <c r="J10" s="185"/>
      <c r="K10" s="90">
        <f>+K9-D7</f>
        <v>5.478351064007092E-2</v>
      </c>
      <c r="M10" s="119">
        <f>+E22-E15</f>
        <v>191</v>
      </c>
    </row>
    <row r="11" spans="2:34" ht="15.75" thickBot="1" x14ac:dyDescent="0.3">
      <c r="B11" s="21" t="s">
        <v>24</v>
      </c>
      <c r="C11" s="22"/>
      <c r="D11" s="23">
        <f>+Calculadora!E13</f>
        <v>46132</v>
      </c>
      <c r="F11" t="s">
        <v>67</v>
      </c>
      <c r="G11" s="117">
        <f>+((26.125%+26.1875%+26.3125%)/3)+D8</f>
        <v>0.2720833333333334</v>
      </c>
      <c r="I11" s="186" t="s">
        <v>8</v>
      </c>
      <c r="J11" s="187"/>
      <c r="K11" s="113">
        <f>+O52*12</f>
        <v>3.1107059226745521</v>
      </c>
    </row>
    <row r="12" spans="2:34" x14ac:dyDescent="0.25">
      <c r="G12" s="120"/>
    </row>
    <row r="13" spans="2:34" x14ac:dyDescent="0.25">
      <c r="D13" s="179" t="s">
        <v>28</v>
      </c>
      <c r="E13" s="180"/>
      <c r="F13" s="180"/>
      <c r="G13" s="180"/>
      <c r="H13" s="180"/>
      <c r="I13" s="180"/>
      <c r="J13" s="181"/>
      <c r="L13" s="179" t="s">
        <v>37</v>
      </c>
      <c r="M13" s="180"/>
      <c r="N13" s="180"/>
      <c r="O13" s="181"/>
      <c r="Q13" s="179" t="s">
        <v>48</v>
      </c>
      <c r="R13" s="180"/>
      <c r="S13" s="180"/>
      <c r="T13" s="180"/>
      <c r="U13" s="180"/>
      <c r="V13" s="180"/>
      <c r="W13" s="181"/>
      <c r="X13" s="77"/>
      <c r="Y13" s="77"/>
      <c r="AB13" s="77"/>
      <c r="AC13" s="77"/>
      <c r="AD13" s="77"/>
      <c r="AE13" s="77" t="s">
        <v>46</v>
      </c>
      <c r="AF13" s="77" t="s">
        <v>47</v>
      </c>
      <c r="AG13" s="77"/>
      <c r="AH13" s="77"/>
    </row>
    <row r="14" spans="2:34" ht="42" customHeight="1" x14ac:dyDescent="0.25">
      <c r="B14" s="28" t="s">
        <v>27</v>
      </c>
      <c r="D14" s="31" t="s">
        <v>29</v>
      </c>
      <c r="E14" s="32" t="s">
        <v>30</v>
      </c>
      <c r="F14" s="33" t="s">
        <v>31</v>
      </c>
      <c r="G14" s="33" t="s">
        <v>32</v>
      </c>
      <c r="H14" s="32" t="s">
        <v>33</v>
      </c>
      <c r="I14" s="34" t="s">
        <v>34</v>
      </c>
      <c r="J14" s="35" t="s">
        <v>35</v>
      </c>
      <c r="L14" s="50">
        <f>+Calculadora!E13</f>
        <v>46132</v>
      </c>
      <c r="M14" s="51">
        <f>-D6*K7</f>
        <v>-2219793514.2399645</v>
      </c>
      <c r="N14" s="51" t="s">
        <v>38</v>
      </c>
      <c r="O14" s="52" t="s">
        <v>65</v>
      </c>
      <c r="Q14" s="31" t="s">
        <v>29</v>
      </c>
      <c r="R14" s="80">
        <f>+D11</f>
        <v>46132</v>
      </c>
      <c r="S14" s="33" t="s">
        <v>31</v>
      </c>
      <c r="T14" s="33" t="s">
        <v>32</v>
      </c>
      <c r="U14" s="32" t="s">
        <v>33</v>
      </c>
      <c r="V14" s="34" t="s">
        <v>34</v>
      </c>
      <c r="W14" s="35" t="s">
        <v>35</v>
      </c>
      <c r="X14" s="77"/>
      <c r="Y14" s="35" t="s">
        <v>50</v>
      </c>
      <c r="AB14" s="77"/>
      <c r="AC14" s="77"/>
      <c r="AD14" s="77" t="s">
        <v>49</v>
      </c>
      <c r="AE14" s="78">
        <f>+AF14-43</f>
        <v>46097</v>
      </c>
      <c r="AF14" s="78">
        <f>+R16</f>
        <v>46140</v>
      </c>
      <c r="AG14" s="77">
        <f>+DAYS360(AE14,AF14)+1</f>
        <v>43</v>
      </c>
      <c r="AH14" s="79"/>
    </row>
    <row r="15" spans="2:34" x14ac:dyDescent="0.25">
      <c r="B15" s="29"/>
      <c r="D15" s="36"/>
      <c r="E15" s="37">
        <f>+Calculadora!E13</f>
        <v>46132</v>
      </c>
      <c r="F15" s="107"/>
      <c r="G15" s="38"/>
      <c r="H15" s="39">
        <v>0</v>
      </c>
      <c r="I15" s="40">
        <f>+D6</f>
        <v>2222110310</v>
      </c>
      <c r="J15" s="41"/>
      <c r="L15" s="37"/>
      <c r="M15" s="38"/>
      <c r="N15" s="38"/>
      <c r="O15" s="53"/>
      <c r="P15" s="62"/>
      <c r="Q15" s="36"/>
      <c r="R15" s="37">
        <f>+R14</f>
        <v>46132</v>
      </c>
      <c r="S15" s="107"/>
      <c r="T15" s="38">
        <v>0</v>
      </c>
      <c r="U15" s="39">
        <v>0</v>
      </c>
      <c r="V15" s="40"/>
      <c r="W15" s="41"/>
      <c r="X15" s="81"/>
      <c r="Y15" s="77"/>
      <c r="AB15" s="81"/>
      <c r="AC15" s="81"/>
      <c r="AD15" s="81"/>
      <c r="AE15" s="81"/>
      <c r="AF15" s="81"/>
      <c r="AG15" s="81"/>
      <c r="AH15" s="81"/>
    </row>
    <row r="16" spans="2:34" x14ac:dyDescent="0.25">
      <c r="B16" s="29">
        <v>104399803</v>
      </c>
      <c r="D16" s="36">
        <v>1</v>
      </c>
      <c r="E16" s="37">
        <v>46140</v>
      </c>
      <c r="F16" s="107">
        <f>MIN(I15,(B16-G16))</f>
        <v>79208170.492534712</v>
      </c>
      <c r="G16" s="42">
        <f>+D6*G11/$D$10*Y16</f>
        <v>25191632.507465284</v>
      </c>
      <c r="H16" s="42">
        <f>+F16+G16</f>
        <v>104399803</v>
      </c>
      <c r="I16" s="40">
        <f>+I15-F16</f>
        <v>2142902139.5074654</v>
      </c>
      <c r="J16" s="41">
        <f>+F16/I15</f>
        <v>3.5645471845425492E-2</v>
      </c>
      <c r="L16" s="54">
        <f>+WORKDAY(E16-1,1,[1]Feriados!$A$2:$A$112)</f>
        <v>46140</v>
      </c>
      <c r="M16" s="38">
        <f>+H16</f>
        <v>104399803</v>
      </c>
      <c r="N16" s="38">
        <f>+M16/((1+$O$53)^((L16-$L$14)/$D$10))</f>
        <v>103751677.53773826</v>
      </c>
      <c r="O16" s="53">
        <f>+N16*((L16-$L$14)/$D$10)</f>
        <v>2305592.8341719615</v>
      </c>
      <c r="P16" s="62"/>
      <c r="Q16" s="36">
        <v>1</v>
      </c>
      <c r="R16" s="37">
        <f>+E16</f>
        <v>46140</v>
      </c>
      <c r="S16" s="107">
        <f>+B16-T16</f>
        <v>81252821</v>
      </c>
      <c r="T16" s="38">
        <f>+ROUND(D6*$F$8/$D$10*Y16,0)</f>
        <v>23146982</v>
      </c>
      <c r="U16" s="39">
        <f t="shared" ref="U16:U21" si="0">+S16+T16</f>
        <v>104399803</v>
      </c>
      <c r="V16" s="40">
        <f>+D6-S16</f>
        <v>2140857489</v>
      </c>
      <c r="W16" s="41">
        <f>+S16/$D$6</f>
        <v>3.6565610912448358E-2</v>
      </c>
      <c r="X16" s="77"/>
      <c r="Y16" s="77">
        <v>15</v>
      </c>
      <c r="AB16" s="77"/>
      <c r="AC16" s="82"/>
      <c r="AD16" s="79"/>
      <c r="AE16" s="77"/>
      <c r="AF16" s="77"/>
      <c r="AG16" s="77"/>
      <c r="AH16" s="77"/>
    </row>
    <row r="17" spans="2:34" x14ac:dyDescent="0.25">
      <c r="B17" s="29">
        <v>439145775</v>
      </c>
      <c r="D17" s="36">
        <f t="shared" ref="D17:D50" si="1">+D16+1</f>
        <v>2</v>
      </c>
      <c r="E17" s="37">
        <v>46170</v>
      </c>
      <c r="F17" s="107">
        <f t="shared" ref="F17:F30" si="2">MIN(I16,(B17-G17))</f>
        <v>390558445.23963976</v>
      </c>
      <c r="G17" s="42">
        <f>+I16*$G$11/$D$10*Y17</f>
        <v>48587329.760360256</v>
      </c>
      <c r="H17" s="42">
        <f>+F17+G17</f>
        <v>439145775</v>
      </c>
      <c r="I17" s="40">
        <f t="shared" ref="I17:I50" si="3">+I16-F17</f>
        <v>1752343694.2678256</v>
      </c>
      <c r="J17" s="41">
        <f>+F17/$D$6</f>
        <v>0.17576015172695894</v>
      </c>
      <c r="L17" s="54">
        <f>+WORKDAY(E17-1,1,[1]Feriados!$A$2:$A$112)</f>
        <v>46170</v>
      </c>
      <c r="M17" s="38">
        <f>+H17</f>
        <v>439145775</v>
      </c>
      <c r="N17" s="38">
        <f>+M17/((1+$O$53)^((L17-$L$14)/$D$10))</f>
        <v>426345897.30009329</v>
      </c>
      <c r="O17" s="53">
        <f t="shared" ref="O17:O50" si="4">+N17*((L17-$L$14)/$D$10)</f>
        <v>45003178.048343182</v>
      </c>
      <c r="P17" s="62"/>
      <c r="Q17" s="36">
        <f t="shared" ref="Q17:Q22" si="5">+Q16+1</f>
        <v>2</v>
      </c>
      <c r="R17" s="37">
        <f t="shared" ref="R17:R21" si="6">+E17</f>
        <v>46170</v>
      </c>
      <c r="S17" s="107">
        <f>+IF(V16&gt;0,MIN(B17-T17,V16),0)</f>
        <v>394544577</v>
      </c>
      <c r="T17" s="38">
        <f>+ROUND(V16*$F$8/$D$10*Y17,0)</f>
        <v>44601198</v>
      </c>
      <c r="U17" s="39">
        <f t="shared" si="0"/>
        <v>439145775</v>
      </c>
      <c r="V17" s="40">
        <f>+V16-S17</f>
        <v>1746312912</v>
      </c>
      <c r="W17" s="41">
        <f t="shared" ref="W17:W21" si="7">+S17/$D$6</f>
        <v>0.17755400135828539</v>
      </c>
      <c r="X17" s="83"/>
      <c r="Y17" s="77">
        <v>30</v>
      </c>
      <c r="AB17" s="77"/>
      <c r="AC17" s="83"/>
      <c r="AD17" s="84">
        <v>23146982</v>
      </c>
      <c r="AE17" s="84">
        <f>+AD17-T16</f>
        <v>0</v>
      </c>
      <c r="AF17" s="85"/>
      <c r="AG17" s="85"/>
      <c r="AH17" s="77"/>
    </row>
    <row r="18" spans="2:34" x14ac:dyDescent="0.25">
      <c r="B18" s="29">
        <v>494098909</v>
      </c>
      <c r="D18" s="36">
        <f t="shared" si="1"/>
        <v>3</v>
      </c>
      <c r="E18" s="37">
        <v>46202</v>
      </c>
      <c r="F18" s="107">
        <f t="shared" si="2"/>
        <v>457591748.70275366</v>
      </c>
      <c r="G18" s="42">
        <f t="shared" ref="G18:G22" si="8">+I17*$D$9/$D$10*Y18</f>
        <v>36507160.297246367</v>
      </c>
      <c r="H18" s="42">
        <f t="shared" ref="H18:H50" si="9">+F18+G18</f>
        <v>494098909</v>
      </c>
      <c r="I18" s="40">
        <f>+I17-F18</f>
        <v>1294751945.5650721</v>
      </c>
      <c r="J18" s="41">
        <f t="shared" ref="J18:J28" si="10">+F18/$D$6</f>
        <v>0.20592665748567346</v>
      </c>
      <c r="L18" s="54">
        <f>+WORKDAY(E18-1,1,[1]Feriados!$A$2:$A$112)</f>
        <v>46202</v>
      </c>
      <c r="M18" s="38">
        <f t="shared" ref="M18:M50" si="11">+H18</f>
        <v>494098909</v>
      </c>
      <c r="N18" s="38">
        <f t="shared" ref="N18:N50" si="12">+M18/((1+$O$53)^((L18-$L$14)/$D$10))</f>
        <v>467895714.49563313</v>
      </c>
      <c r="O18" s="53">
        <f t="shared" si="4"/>
        <v>90979722.263039783</v>
      </c>
      <c r="P18" s="62"/>
      <c r="Q18" s="36">
        <f t="shared" si="5"/>
        <v>3</v>
      </c>
      <c r="R18" s="37">
        <f t="shared" si="6"/>
        <v>46202</v>
      </c>
      <c r="S18" s="107">
        <f t="shared" ref="S18:S21" si="13">+IF(V17&gt;0,MIN(B18-T18,V17),0)</f>
        <v>457717390</v>
      </c>
      <c r="T18" s="38">
        <f t="shared" ref="T18:T21" si="14">+ROUND(V17*$F$8/$D$10*Y18,0)</f>
        <v>36381519</v>
      </c>
      <c r="U18" s="39">
        <f t="shared" si="0"/>
        <v>494098909</v>
      </c>
      <c r="V18" s="40">
        <f>+V17-S18</f>
        <v>1288595522</v>
      </c>
      <c r="W18" s="41">
        <f t="shared" si="7"/>
        <v>0.20598319891688904</v>
      </c>
      <c r="X18" s="77"/>
      <c r="Y18" s="77">
        <v>30</v>
      </c>
      <c r="AB18" s="77"/>
      <c r="AC18" s="77"/>
      <c r="AD18" s="84">
        <v>44601198</v>
      </c>
      <c r="AE18" s="84">
        <f t="shared" ref="AE18:AE22" si="15">+AD18-T17</f>
        <v>0</v>
      </c>
      <c r="AF18" s="85"/>
      <c r="AG18" s="85"/>
      <c r="AH18" s="77"/>
    </row>
    <row r="19" spans="2:34" x14ac:dyDescent="0.25">
      <c r="B19" s="29">
        <v>502323477</v>
      </c>
      <c r="D19" s="36">
        <f t="shared" si="1"/>
        <v>4</v>
      </c>
      <c r="E19" s="37">
        <v>46231</v>
      </c>
      <c r="F19" s="107">
        <f t="shared" si="2"/>
        <v>475349478.13406098</v>
      </c>
      <c r="G19" s="42">
        <f t="shared" si="8"/>
        <v>26973998.865938999</v>
      </c>
      <c r="H19" s="42">
        <f t="shared" si="9"/>
        <v>502323477</v>
      </c>
      <c r="I19" s="40">
        <f t="shared" si="3"/>
        <v>819402467.43101108</v>
      </c>
      <c r="J19" s="41">
        <f t="shared" si="10"/>
        <v>0.21391803817968918</v>
      </c>
      <c r="L19" s="54">
        <f>+WORKDAY(E19-1,1,[1]Feriados!$A$2:$A$112)</f>
        <v>46231</v>
      </c>
      <c r="M19" s="38">
        <f>+H19</f>
        <v>502323477</v>
      </c>
      <c r="N19" s="38">
        <f t="shared" si="12"/>
        <v>465066062.56711012</v>
      </c>
      <c r="O19" s="53">
        <f t="shared" si="4"/>
        <v>127893167.2059553</v>
      </c>
      <c r="P19" s="62"/>
      <c r="Q19" s="36">
        <f t="shared" si="5"/>
        <v>4</v>
      </c>
      <c r="R19" s="37">
        <f t="shared" si="6"/>
        <v>46231</v>
      </c>
      <c r="S19" s="107">
        <f t="shared" si="13"/>
        <v>475477737</v>
      </c>
      <c r="T19" s="38">
        <f t="shared" si="14"/>
        <v>26845740</v>
      </c>
      <c r="U19" s="39">
        <f t="shared" si="0"/>
        <v>502323477</v>
      </c>
      <c r="V19" s="40">
        <f t="shared" ref="V19:V21" si="16">+V18-S19</f>
        <v>813117785</v>
      </c>
      <c r="W19" s="41">
        <f t="shared" si="7"/>
        <v>0.2139757575761394</v>
      </c>
      <c r="X19" s="77"/>
      <c r="Y19" s="77">
        <v>30</v>
      </c>
      <c r="AB19" s="77"/>
      <c r="AC19" s="77"/>
      <c r="AD19" s="84">
        <v>36381519</v>
      </c>
      <c r="AE19" s="84">
        <f t="shared" si="15"/>
        <v>0</v>
      </c>
      <c r="AF19" s="85"/>
      <c r="AG19" s="85"/>
      <c r="AH19" s="77"/>
    </row>
    <row r="20" spans="2:34" x14ac:dyDescent="0.25">
      <c r="B20" s="29">
        <v>431092023</v>
      </c>
      <c r="D20" s="36">
        <f t="shared" si="1"/>
        <v>5</v>
      </c>
      <c r="E20" s="37">
        <v>46262</v>
      </c>
      <c r="F20" s="107">
        <f>MIN(I19,(B20-G20))</f>
        <v>414021138.26185393</v>
      </c>
      <c r="G20" s="42">
        <f t="shared" si="8"/>
        <v>17070884.738146067</v>
      </c>
      <c r="H20" s="42">
        <f>+F20+G20</f>
        <v>431092023</v>
      </c>
      <c r="I20" s="40">
        <f t="shared" si="3"/>
        <v>405381329.16915715</v>
      </c>
      <c r="J20" s="41">
        <f t="shared" si="10"/>
        <v>0.18631889533056256</v>
      </c>
      <c r="L20" s="54">
        <f>+WORKDAY(E20-1,1,[1]Feriados!$A$2:$A$112)</f>
        <v>46262</v>
      </c>
      <c r="M20" s="38">
        <f t="shared" si="11"/>
        <v>431092023</v>
      </c>
      <c r="N20" s="38">
        <f t="shared" si="12"/>
        <v>389601859.7957201</v>
      </c>
      <c r="O20" s="53">
        <f t="shared" si="4"/>
        <v>140689560.4817878</v>
      </c>
      <c r="P20" s="62"/>
      <c r="Q20" s="36">
        <f t="shared" si="5"/>
        <v>5</v>
      </c>
      <c r="R20" s="37">
        <f t="shared" si="6"/>
        <v>46262</v>
      </c>
      <c r="S20" s="107">
        <f t="shared" si="13"/>
        <v>414152069</v>
      </c>
      <c r="T20" s="38">
        <f t="shared" si="14"/>
        <v>16939954</v>
      </c>
      <c r="U20" s="39">
        <f t="shared" si="0"/>
        <v>431092023</v>
      </c>
      <c r="V20" s="40">
        <f t="shared" si="16"/>
        <v>398965716</v>
      </c>
      <c r="W20" s="41">
        <f t="shared" si="7"/>
        <v>0.18637781713005958</v>
      </c>
      <c r="X20" s="77"/>
      <c r="Y20" s="77">
        <v>30</v>
      </c>
      <c r="AB20" s="77"/>
      <c r="AC20" s="77"/>
      <c r="AD20" s="84">
        <v>26845740</v>
      </c>
      <c r="AE20" s="84">
        <f t="shared" si="15"/>
        <v>0</v>
      </c>
      <c r="AF20" s="85"/>
      <c r="AG20" s="85"/>
      <c r="AH20" s="77"/>
    </row>
    <row r="21" spans="2:34" x14ac:dyDescent="0.25">
      <c r="B21" s="29">
        <v>348613050</v>
      </c>
      <c r="D21" s="36">
        <f t="shared" si="1"/>
        <v>6</v>
      </c>
      <c r="E21" s="37">
        <v>46293</v>
      </c>
      <c r="F21" s="107">
        <f t="shared" si="2"/>
        <v>340167605.64230925</v>
      </c>
      <c r="G21" s="42">
        <f t="shared" si="8"/>
        <v>8445444.3576907739</v>
      </c>
      <c r="H21" s="42">
        <f t="shared" si="9"/>
        <v>348613050</v>
      </c>
      <c r="I21" s="42">
        <f t="shared" si="3"/>
        <v>65213723.526847899</v>
      </c>
      <c r="J21" s="41">
        <f t="shared" si="10"/>
        <v>0.15308313188210232</v>
      </c>
      <c r="L21" s="54">
        <f>+WORKDAY(E21-1,1,[1]Feriados!$A$2:$A$112)</f>
        <v>46293</v>
      </c>
      <c r="M21" s="38">
        <f t="shared" si="11"/>
        <v>348613050</v>
      </c>
      <c r="N21" s="38">
        <f t="shared" si="12"/>
        <v>307549154.40140241</v>
      </c>
      <c r="O21" s="53">
        <f t="shared" si="4"/>
        <v>137542816.27396053</v>
      </c>
      <c r="P21" s="62"/>
      <c r="Q21" s="36">
        <f t="shared" si="5"/>
        <v>6</v>
      </c>
      <c r="R21" s="37">
        <f t="shared" si="6"/>
        <v>46293</v>
      </c>
      <c r="S21" s="107">
        <f t="shared" si="13"/>
        <v>340301264</v>
      </c>
      <c r="T21" s="38">
        <f t="shared" si="14"/>
        <v>8311786</v>
      </c>
      <c r="U21" s="39">
        <f t="shared" si="0"/>
        <v>348613050</v>
      </c>
      <c r="V21" s="40">
        <f t="shared" si="16"/>
        <v>58664452</v>
      </c>
      <c r="W21" s="41">
        <f t="shared" si="7"/>
        <v>0.15314328117221146</v>
      </c>
      <c r="X21" s="77"/>
      <c r="Y21" s="77">
        <v>30</v>
      </c>
      <c r="AB21" s="77"/>
      <c r="AC21" s="77"/>
      <c r="AD21" s="84">
        <v>16939954</v>
      </c>
      <c r="AE21" s="84">
        <f t="shared" si="15"/>
        <v>0</v>
      </c>
      <c r="AF21" s="85"/>
      <c r="AG21" s="85"/>
      <c r="AH21" s="77"/>
    </row>
    <row r="22" spans="2:34" x14ac:dyDescent="0.25">
      <c r="B22" s="30">
        <v>304831472</v>
      </c>
      <c r="D22" s="36">
        <f t="shared" si="1"/>
        <v>7</v>
      </c>
      <c r="E22" s="37">
        <v>46323</v>
      </c>
      <c r="F22" s="107">
        <f>MIN(I21,(B22-G22))</f>
        <v>65213723.526847899</v>
      </c>
      <c r="G22" s="42">
        <f t="shared" si="8"/>
        <v>1358619.2401426644</v>
      </c>
      <c r="H22" s="42">
        <f>+F22+G22</f>
        <v>66572342.766990565</v>
      </c>
      <c r="I22" s="42">
        <f t="shared" si="3"/>
        <v>0</v>
      </c>
      <c r="J22" s="41">
        <f t="shared" si="10"/>
        <v>2.934765354958814E-2</v>
      </c>
      <c r="L22" s="54">
        <f>+WORKDAY(E22-1,1,[1]Feriados!$A$2:$A$112)</f>
        <v>46323</v>
      </c>
      <c r="M22" s="38">
        <f>+H22</f>
        <v>66572342.766990565</v>
      </c>
      <c r="N22" s="38">
        <f t="shared" si="12"/>
        <v>57374996.028643399</v>
      </c>
      <c r="O22" s="53">
        <f t="shared" si="4"/>
        <v>30440622.892974693</v>
      </c>
      <c r="P22" s="62"/>
      <c r="Q22" s="36">
        <f t="shared" si="5"/>
        <v>7</v>
      </c>
      <c r="R22" s="37">
        <f t="shared" ref="R22" si="17">+E22</f>
        <v>46323</v>
      </c>
      <c r="S22" s="107">
        <f t="shared" ref="S22" si="18">+IF(V21&gt;0,MIN(B22-T22,V21),0)</f>
        <v>58664452</v>
      </c>
      <c r="T22" s="38">
        <f>+ROUND(V21*$F$8/$D$10*Y22,0)</f>
        <v>1222176</v>
      </c>
      <c r="U22" s="39">
        <f t="shared" ref="U22" si="19">+S22+T22</f>
        <v>59886628</v>
      </c>
      <c r="V22" s="40">
        <f t="shared" ref="V22" si="20">+V21-S22</f>
        <v>0</v>
      </c>
      <c r="W22" s="41">
        <f t="shared" ref="W22" si="21">+S22/$D$6</f>
        <v>2.6400332933966722E-2</v>
      </c>
      <c r="X22" s="77"/>
      <c r="Y22" s="77">
        <v>30</v>
      </c>
      <c r="AB22" s="77"/>
      <c r="AC22" s="77"/>
      <c r="AD22" s="84">
        <v>8311786</v>
      </c>
      <c r="AE22" s="84">
        <f t="shared" si="15"/>
        <v>0</v>
      </c>
      <c r="AF22" s="85"/>
      <c r="AG22" s="85"/>
      <c r="AH22" s="77"/>
    </row>
    <row r="23" spans="2:34" x14ac:dyDescent="0.25">
      <c r="B23" s="29">
        <v>270129282</v>
      </c>
      <c r="D23" s="36">
        <f t="shared" si="1"/>
        <v>8</v>
      </c>
      <c r="E23" s="37">
        <f t="shared" ref="E23:E31" si="22">+EDATE(E22,1)</f>
        <v>46354</v>
      </c>
      <c r="F23" s="107">
        <f t="shared" si="2"/>
        <v>0</v>
      </c>
      <c r="G23" s="42">
        <f t="shared" ref="G23:G27" si="23">+I22*$D$9/$D$10*Y23</f>
        <v>0</v>
      </c>
      <c r="H23" s="42">
        <f t="shared" si="9"/>
        <v>0</v>
      </c>
      <c r="I23" s="42">
        <f t="shared" si="3"/>
        <v>0</v>
      </c>
      <c r="J23" s="41">
        <f t="shared" si="10"/>
        <v>0</v>
      </c>
      <c r="L23" s="54">
        <f>+WORKDAY(E23-1,1,[1]Feriados!$A$2:$A$112)</f>
        <v>46356</v>
      </c>
      <c r="M23" s="38">
        <f t="shared" si="11"/>
        <v>0</v>
      </c>
      <c r="N23" s="38">
        <f t="shared" si="12"/>
        <v>0</v>
      </c>
      <c r="O23" s="53">
        <f t="shared" si="4"/>
        <v>0</v>
      </c>
      <c r="P23" s="62"/>
      <c r="Q23" s="36"/>
      <c r="R23" s="37"/>
      <c r="S23" s="107"/>
      <c r="T23" s="38"/>
      <c r="U23" s="39"/>
      <c r="V23" s="40"/>
      <c r="W23" s="41"/>
      <c r="X23" s="77"/>
      <c r="Y23" s="77"/>
      <c r="AB23" s="77"/>
      <c r="AC23" s="77"/>
      <c r="AD23" s="84">
        <v>1222176</v>
      </c>
      <c r="AE23" s="84">
        <f>+AD23-T22</f>
        <v>0</v>
      </c>
      <c r="AF23" s="85"/>
      <c r="AG23" s="85"/>
      <c r="AH23" s="77"/>
    </row>
    <row r="24" spans="2:34" x14ac:dyDescent="0.25">
      <c r="B24" s="29">
        <v>307395711</v>
      </c>
      <c r="D24" s="36">
        <f t="shared" si="1"/>
        <v>9</v>
      </c>
      <c r="E24" s="37">
        <f t="shared" si="22"/>
        <v>46384</v>
      </c>
      <c r="F24" s="107">
        <f t="shared" si="2"/>
        <v>0</v>
      </c>
      <c r="G24" s="42">
        <f t="shared" si="23"/>
        <v>0</v>
      </c>
      <c r="H24" s="42">
        <f t="shared" si="9"/>
        <v>0</v>
      </c>
      <c r="I24" s="42">
        <f t="shared" si="3"/>
        <v>0</v>
      </c>
      <c r="J24" s="41">
        <f t="shared" si="10"/>
        <v>0</v>
      </c>
      <c r="L24" s="54">
        <f>+WORKDAY(E24-1,1,[1]Feriados!$A$2:$A$112)</f>
        <v>46384</v>
      </c>
      <c r="M24" s="38">
        <f t="shared" si="11"/>
        <v>0</v>
      </c>
      <c r="N24" s="38">
        <f t="shared" si="12"/>
        <v>0</v>
      </c>
      <c r="O24" s="53">
        <f t="shared" si="4"/>
        <v>0</v>
      </c>
      <c r="P24" s="62"/>
      <c r="Q24" s="36"/>
      <c r="R24" s="37"/>
      <c r="S24" s="107"/>
      <c r="T24" s="38"/>
      <c r="U24" s="39"/>
      <c r="V24" s="40"/>
      <c r="W24" s="41"/>
      <c r="X24" s="77"/>
      <c r="Y24" s="77"/>
      <c r="AB24" s="77"/>
      <c r="AC24" s="77"/>
      <c r="AD24" s="84"/>
      <c r="AE24" s="84"/>
      <c r="AF24" s="85"/>
      <c r="AG24" s="85"/>
      <c r="AH24" s="77"/>
    </row>
    <row r="25" spans="2:34" x14ac:dyDescent="0.25">
      <c r="B25" s="29">
        <v>316130665</v>
      </c>
      <c r="D25" s="36">
        <f t="shared" si="1"/>
        <v>10</v>
      </c>
      <c r="E25" s="37">
        <f t="shared" si="22"/>
        <v>46415</v>
      </c>
      <c r="F25" s="107">
        <f t="shared" si="2"/>
        <v>0</v>
      </c>
      <c r="G25" s="42">
        <f t="shared" si="23"/>
        <v>0</v>
      </c>
      <c r="H25" s="42">
        <f t="shared" si="9"/>
        <v>0</v>
      </c>
      <c r="I25" s="42">
        <f t="shared" si="3"/>
        <v>0</v>
      </c>
      <c r="J25" s="41">
        <f t="shared" si="10"/>
        <v>0</v>
      </c>
      <c r="L25" s="54">
        <f>+WORKDAY(E25-1,1,[1]Feriados!$A$2:$A$112)</f>
        <v>46415</v>
      </c>
      <c r="M25" s="38">
        <f t="shared" si="11"/>
        <v>0</v>
      </c>
      <c r="N25" s="38">
        <f t="shared" si="12"/>
        <v>0</v>
      </c>
      <c r="O25" s="53">
        <f t="shared" si="4"/>
        <v>0</v>
      </c>
      <c r="P25" s="62"/>
      <c r="Q25" s="36"/>
      <c r="R25" s="37"/>
      <c r="S25" s="107"/>
      <c r="T25" s="38"/>
      <c r="U25" s="39"/>
      <c r="V25" s="40"/>
      <c r="W25" s="41"/>
      <c r="X25" s="77"/>
      <c r="Y25" s="77"/>
      <c r="AB25" s="77"/>
      <c r="AC25" s="77"/>
      <c r="AD25" s="84"/>
      <c r="AE25" s="84"/>
      <c r="AF25" s="85"/>
      <c r="AG25" s="85"/>
      <c r="AH25" s="77"/>
    </row>
    <row r="26" spans="2:34" x14ac:dyDescent="0.25">
      <c r="B26" s="30">
        <v>272245790</v>
      </c>
      <c r="D26" s="36">
        <f t="shared" si="1"/>
        <v>11</v>
      </c>
      <c r="E26" s="37">
        <f t="shared" si="22"/>
        <v>46446</v>
      </c>
      <c r="F26" s="107">
        <f t="shared" si="2"/>
        <v>0</v>
      </c>
      <c r="G26" s="42">
        <f t="shared" si="23"/>
        <v>0</v>
      </c>
      <c r="H26" s="42">
        <f t="shared" si="9"/>
        <v>0</v>
      </c>
      <c r="I26" s="42">
        <f t="shared" si="3"/>
        <v>0</v>
      </c>
      <c r="J26" s="41">
        <f t="shared" si="10"/>
        <v>0</v>
      </c>
      <c r="L26" s="54">
        <f>+WORKDAY(E26-1,1,[1]Feriados!$A$2:$A$112)</f>
        <v>46447</v>
      </c>
      <c r="M26" s="38">
        <f t="shared" si="11"/>
        <v>0</v>
      </c>
      <c r="N26" s="38">
        <f t="shared" si="12"/>
        <v>0</v>
      </c>
      <c r="O26" s="53">
        <f t="shared" si="4"/>
        <v>0</v>
      </c>
      <c r="P26" s="62"/>
      <c r="Q26" s="36"/>
      <c r="R26" s="37"/>
      <c r="S26" s="107"/>
      <c r="T26" s="38"/>
      <c r="U26" s="39"/>
      <c r="V26" s="40"/>
      <c r="W26" s="41"/>
      <c r="X26" s="77"/>
      <c r="AB26" s="77"/>
      <c r="AC26" s="77"/>
      <c r="AD26" s="84"/>
      <c r="AE26" s="84"/>
      <c r="AF26" s="85"/>
      <c r="AG26" s="85"/>
      <c r="AH26" s="77"/>
    </row>
    <row r="27" spans="2:34" x14ac:dyDescent="0.25">
      <c r="B27" s="29">
        <v>126274695</v>
      </c>
      <c r="D27" s="36">
        <f t="shared" si="1"/>
        <v>12</v>
      </c>
      <c r="E27" s="37">
        <f t="shared" si="22"/>
        <v>46474</v>
      </c>
      <c r="F27" s="107">
        <f t="shared" si="2"/>
        <v>0</v>
      </c>
      <c r="G27" s="42">
        <f t="shared" si="23"/>
        <v>0</v>
      </c>
      <c r="H27" s="42">
        <f t="shared" si="9"/>
        <v>0</v>
      </c>
      <c r="I27" s="42">
        <f t="shared" si="3"/>
        <v>0</v>
      </c>
      <c r="J27" s="41">
        <f t="shared" si="10"/>
        <v>0</v>
      </c>
      <c r="L27" s="54">
        <f>+WORKDAY(E27-1,1,[1]Feriados!$A$2:$A$112)</f>
        <v>46475</v>
      </c>
      <c r="M27" s="38">
        <f t="shared" si="11"/>
        <v>0</v>
      </c>
      <c r="N27" s="38">
        <f t="shared" si="12"/>
        <v>0</v>
      </c>
      <c r="O27" s="53">
        <f t="shared" si="4"/>
        <v>0</v>
      </c>
      <c r="P27" s="62"/>
      <c r="Q27" s="36"/>
      <c r="R27" s="37"/>
      <c r="S27" s="107"/>
      <c r="T27" s="38"/>
      <c r="U27" s="39"/>
      <c r="V27" s="40"/>
      <c r="W27" s="41"/>
      <c r="X27" s="77"/>
      <c r="Y27" s="77"/>
      <c r="AB27" s="77"/>
      <c r="AC27" s="77"/>
      <c r="AD27" s="77"/>
      <c r="AE27" s="77"/>
      <c r="AF27" s="77"/>
      <c r="AG27" s="77"/>
      <c r="AH27" s="77"/>
    </row>
    <row r="28" spans="2:34" x14ac:dyDescent="0.25">
      <c r="B28" s="29">
        <v>68531487</v>
      </c>
      <c r="D28" s="36">
        <f t="shared" si="1"/>
        <v>13</v>
      </c>
      <c r="E28" s="37">
        <f t="shared" si="22"/>
        <v>46505</v>
      </c>
      <c r="F28" s="107">
        <f t="shared" si="2"/>
        <v>0</v>
      </c>
      <c r="G28" s="42">
        <f t="shared" ref="G28:G38" si="24">+I27*(MAX($F$8,MIN($G$8,$D$7+$D$8)))/$D$10*E57</f>
        <v>0</v>
      </c>
      <c r="H28" s="42">
        <f t="shared" si="9"/>
        <v>0</v>
      </c>
      <c r="I28" s="42">
        <f t="shared" si="3"/>
        <v>0</v>
      </c>
      <c r="J28" s="41">
        <f t="shared" si="10"/>
        <v>0</v>
      </c>
      <c r="L28" s="54">
        <f>+WORKDAY(E28-1,1,[1]Feriados!$A$2:$A$112)</f>
        <v>46505</v>
      </c>
      <c r="M28" s="38">
        <f t="shared" si="11"/>
        <v>0</v>
      </c>
      <c r="N28" s="38">
        <f t="shared" si="12"/>
        <v>0</v>
      </c>
      <c r="O28" s="53">
        <f t="shared" si="4"/>
        <v>0</v>
      </c>
      <c r="P28" s="62"/>
      <c r="Q28" s="36"/>
      <c r="R28" s="37"/>
      <c r="S28" s="107"/>
      <c r="T28" s="38"/>
      <c r="U28" s="39"/>
      <c r="V28" s="40"/>
      <c r="W28" s="41"/>
      <c r="X28" s="77"/>
      <c r="Y28" s="192"/>
      <c r="Z28" s="192"/>
      <c r="AB28" s="77"/>
      <c r="AC28" s="77"/>
      <c r="AD28" s="77"/>
      <c r="AE28" s="77"/>
      <c r="AF28" s="77"/>
      <c r="AG28" s="77"/>
      <c r="AH28" s="77"/>
    </row>
    <row r="29" spans="2:34" x14ac:dyDescent="0.25">
      <c r="B29" s="29">
        <v>55074801</v>
      </c>
      <c r="D29" s="36">
        <f t="shared" si="1"/>
        <v>14</v>
      </c>
      <c r="E29" s="37">
        <f t="shared" si="22"/>
        <v>46535</v>
      </c>
      <c r="F29" s="107">
        <f t="shared" si="2"/>
        <v>0</v>
      </c>
      <c r="G29" s="42">
        <f t="shared" si="24"/>
        <v>0</v>
      </c>
      <c r="H29" s="42">
        <f t="shared" si="9"/>
        <v>0</v>
      </c>
      <c r="I29" s="42">
        <f t="shared" si="3"/>
        <v>0</v>
      </c>
      <c r="J29" s="41" t="s">
        <v>36</v>
      </c>
      <c r="L29" s="54">
        <f>+WORKDAY(E29-1,1,[1]Feriados!$A$2:$A$112)</f>
        <v>46535</v>
      </c>
      <c r="M29" s="38">
        <f t="shared" si="11"/>
        <v>0</v>
      </c>
      <c r="N29" s="38">
        <f t="shared" si="12"/>
        <v>0</v>
      </c>
      <c r="O29" s="53">
        <f t="shared" si="4"/>
        <v>0</v>
      </c>
      <c r="P29" s="62"/>
      <c r="Q29" s="36"/>
      <c r="R29" s="37"/>
      <c r="S29" s="107"/>
      <c r="T29" s="38"/>
      <c r="U29" s="39"/>
      <c r="V29" s="40"/>
      <c r="W29" s="41"/>
      <c r="X29" s="77"/>
      <c r="AB29" s="77"/>
      <c r="AC29" s="77"/>
      <c r="AD29" s="77"/>
      <c r="AE29" s="77"/>
      <c r="AF29" s="77"/>
      <c r="AG29" s="77"/>
      <c r="AH29" s="77"/>
    </row>
    <row r="30" spans="2:34" x14ac:dyDescent="0.25">
      <c r="B30" s="29">
        <v>46837632</v>
      </c>
      <c r="D30" s="36">
        <f t="shared" si="1"/>
        <v>15</v>
      </c>
      <c r="E30" s="37">
        <f t="shared" si="22"/>
        <v>46566</v>
      </c>
      <c r="F30" s="107">
        <f t="shared" si="2"/>
        <v>0</v>
      </c>
      <c r="G30" s="42">
        <f t="shared" si="24"/>
        <v>0</v>
      </c>
      <c r="H30" s="42">
        <f t="shared" si="9"/>
        <v>0</v>
      </c>
      <c r="I30" s="42">
        <f t="shared" si="3"/>
        <v>0</v>
      </c>
      <c r="J30" s="41" t="s">
        <v>36</v>
      </c>
      <c r="L30" s="54">
        <f>+WORKDAY(E30-1,1,[1]Feriados!$A$2:$A$112)</f>
        <v>46566</v>
      </c>
      <c r="M30" s="38">
        <f t="shared" si="11"/>
        <v>0</v>
      </c>
      <c r="N30" s="38">
        <f t="shared" si="12"/>
        <v>0</v>
      </c>
      <c r="O30" s="53">
        <f t="shared" si="4"/>
        <v>0</v>
      </c>
      <c r="P30" s="62"/>
      <c r="Q30" s="36"/>
      <c r="R30" s="37"/>
      <c r="S30" s="107"/>
      <c r="T30" s="38"/>
      <c r="U30" s="39"/>
      <c r="V30" s="40"/>
      <c r="W30" s="41"/>
      <c r="X30" s="77"/>
      <c r="AB30" s="77"/>
      <c r="AC30" s="77"/>
      <c r="AD30" s="77"/>
      <c r="AE30" s="77"/>
      <c r="AF30" s="77"/>
      <c r="AG30" s="77"/>
      <c r="AH30" s="77"/>
    </row>
    <row r="31" spans="2:34" x14ac:dyDescent="0.25">
      <c r="B31" s="29">
        <v>42027631</v>
      </c>
      <c r="D31" s="36">
        <f t="shared" si="1"/>
        <v>16</v>
      </c>
      <c r="E31" s="37">
        <f t="shared" si="22"/>
        <v>46596</v>
      </c>
      <c r="F31" s="107">
        <f t="shared" ref="F31:F50" si="25">MIN(I30,(B31-G31))</f>
        <v>0</v>
      </c>
      <c r="G31" s="42">
        <f t="shared" si="24"/>
        <v>0</v>
      </c>
      <c r="H31" s="42">
        <f t="shared" si="9"/>
        <v>0</v>
      </c>
      <c r="I31" s="42">
        <f t="shared" si="3"/>
        <v>0</v>
      </c>
      <c r="J31" s="41" t="s">
        <v>36</v>
      </c>
      <c r="L31" s="54">
        <f>+WORKDAY(E31-1,1,[1]Feriados!$A$2:$A$112)</f>
        <v>46596</v>
      </c>
      <c r="M31" s="38">
        <f t="shared" si="11"/>
        <v>0</v>
      </c>
      <c r="N31" s="38">
        <f t="shared" si="12"/>
        <v>0</v>
      </c>
      <c r="O31" s="53">
        <f t="shared" si="4"/>
        <v>0</v>
      </c>
      <c r="P31" s="62"/>
      <c r="Q31" s="36"/>
      <c r="R31" s="37"/>
      <c r="S31" s="107"/>
      <c r="T31" s="38"/>
      <c r="U31" s="39"/>
      <c r="V31" s="40"/>
      <c r="W31" s="41"/>
      <c r="X31" s="77"/>
      <c r="AB31" s="77"/>
      <c r="AC31" s="77"/>
      <c r="AD31" s="77"/>
      <c r="AE31" s="77"/>
      <c r="AF31" s="77"/>
      <c r="AG31" s="77"/>
      <c r="AH31" s="77"/>
    </row>
    <row r="32" spans="2:34" x14ac:dyDescent="0.25">
      <c r="B32" s="29">
        <v>30265374</v>
      </c>
      <c r="D32" s="36">
        <f t="shared" si="1"/>
        <v>17</v>
      </c>
      <c r="E32" s="37">
        <f t="shared" ref="E32:E50" si="26">+EDATE(E31,1)</f>
        <v>46627</v>
      </c>
      <c r="F32" s="107">
        <f t="shared" si="25"/>
        <v>0</v>
      </c>
      <c r="G32" s="42">
        <f t="shared" si="24"/>
        <v>0</v>
      </c>
      <c r="H32" s="42">
        <f t="shared" si="9"/>
        <v>0</v>
      </c>
      <c r="I32" s="42">
        <f t="shared" si="3"/>
        <v>0</v>
      </c>
      <c r="J32" s="41" t="s">
        <v>36</v>
      </c>
      <c r="L32" s="54">
        <f>+WORKDAY(E32-1,1,[1]Feriados!$A$2:$A$112)</f>
        <v>46629</v>
      </c>
      <c r="M32" s="38">
        <f t="shared" si="11"/>
        <v>0</v>
      </c>
      <c r="N32" s="38">
        <f t="shared" si="12"/>
        <v>0</v>
      </c>
      <c r="O32" s="53">
        <f t="shared" si="4"/>
        <v>0</v>
      </c>
      <c r="P32" s="62"/>
      <c r="Q32" s="36"/>
      <c r="R32" s="37"/>
      <c r="S32" s="107"/>
      <c r="T32" s="38"/>
      <c r="U32" s="39"/>
      <c r="V32" s="40"/>
      <c r="W32" s="41"/>
      <c r="X32" s="77"/>
      <c r="AB32" s="77"/>
      <c r="AC32" s="77"/>
      <c r="AD32" s="77"/>
      <c r="AE32" s="77"/>
      <c r="AF32" s="77"/>
      <c r="AG32" s="77"/>
      <c r="AH32" s="77"/>
    </row>
    <row r="33" spans="2:34" x14ac:dyDescent="0.25">
      <c r="B33" s="29">
        <v>13855939</v>
      </c>
      <c r="D33" s="36">
        <f t="shared" si="1"/>
        <v>18</v>
      </c>
      <c r="E33" s="37">
        <f t="shared" si="26"/>
        <v>46658</v>
      </c>
      <c r="F33" s="107">
        <f t="shared" si="25"/>
        <v>0</v>
      </c>
      <c r="G33" s="42">
        <f t="shared" si="24"/>
        <v>0</v>
      </c>
      <c r="H33" s="42">
        <f t="shared" si="9"/>
        <v>0</v>
      </c>
      <c r="I33" s="42">
        <f t="shared" si="3"/>
        <v>0</v>
      </c>
      <c r="J33" s="41" t="s">
        <v>36</v>
      </c>
      <c r="L33" s="54">
        <f>+WORKDAY(E33-1,1,[1]Feriados!$A$2:$A$112)</f>
        <v>46658</v>
      </c>
      <c r="M33" s="38">
        <f t="shared" si="11"/>
        <v>0</v>
      </c>
      <c r="N33" s="38">
        <f t="shared" si="12"/>
        <v>0</v>
      </c>
      <c r="O33" s="53">
        <f t="shared" si="4"/>
        <v>0</v>
      </c>
      <c r="P33" s="62"/>
      <c r="Q33" s="36"/>
      <c r="R33" s="37"/>
      <c r="S33" s="107"/>
      <c r="T33" s="38"/>
      <c r="U33" s="39"/>
      <c r="V33" s="40"/>
      <c r="W33" s="41"/>
      <c r="X33" s="77"/>
      <c r="AB33" s="77"/>
      <c r="AC33" s="77"/>
      <c r="AD33" s="77"/>
      <c r="AE33" s="77"/>
      <c r="AF33" s="77"/>
      <c r="AG33" s="77"/>
      <c r="AH33" s="77"/>
    </row>
    <row r="34" spans="2:34" x14ac:dyDescent="0.25">
      <c r="B34" s="29">
        <v>7759808</v>
      </c>
      <c r="D34" s="36">
        <f t="shared" si="1"/>
        <v>19</v>
      </c>
      <c r="E34" s="37">
        <f t="shared" si="26"/>
        <v>46688</v>
      </c>
      <c r="F34" s="107">
        <f t="shared" si="25"/>
        <v>0</v>
      </c>
      <c r="G34" s="42">
        <f t="shared" si="24"/>
        <v>0</v>
      </c>
      <c r="H34" s="42">
        <f t="shared" si="9"/>
        <v>0</v>
      </c>
      <c r="I34" s="42">
        <f t="shared" si="3"/>
        <v>0</v>
      </c>
      <c r="J34" s="41" t="s">
        <v>36</v>
      </c>
      <c r="L34" s="54">
        <f>+WORKDAY(E34-1,1,[1]Feriados!$A$2:$A$112)</f>
        <v>46688</v>
      </c>
      <c r="M34" s="38">
        <f t="shared" si="11"/>
        <v>0</v>
      </c>
      <c r="N34" s="38">
        <f t="shared" si="12"/>
        <v>0</v>
      </c>
      <c r="O34" s="53">
        <f t="shared" si="4"/>
        <v>0</v>
      </c>
      <c r="P34" s="62"/>
      <c r="Q34" s="36"/>
      <c r="R34" s="37"/>
      <c r="S34" s="107"/>
      <c r="T34" s="38"/>
      <c r="U34" s="39"/>
      <c r="V34" s="40"/>
      <c r="W34" s="41"/>
      <c r="X34" s="77"/>
      <c r="AB34" s="77"/>
      <c r="AC34" s="77"/>
      <c r="AD34" s="77"/>
      <c r="AE34" s="77"/>
      <c r="AF34" s="77"/>
      <c r="AG34" s="77"/>
      <c r="AH34" s="77"/>
    </row>
    <row r="35" spans="2:34" x14ac:dyDescent="0.25">
      <c r="B35" s="29">
        <v>4563861</v>
      </c>
      <c r="D35" s="36">
        <f t="shared" si="1"/>
        <v>20</v>
      </c>
      <c r="E35" s="37">
        <f t="shared" si="26"/>
        <v>46719</v>
      </c>
      <c r="F35" s="107">
        <f t="shared" si="25"/>
        <v>0</v>
      </c>
      <c r="G35" s="42">
        <f t="shared" si="24"/>
        <v>0</v>
      </c>
      <c r="H35" s="42">
        <f t="shared" si="9"/>
        <v>0</v>
      </c>
      <c r="I35" s="42">
        <f t="shared" si="3"/>
        <v>0</v>
      </c>
      <c r="J35" s="41" t="s">
        <v>36</v>
      </c>
      <c r="L35" s="54">
        <f>+WORKDAY(E35-1,1,[1]Feriados!$A$2:$A$112)</f>
        <v>46720</v>
      </c>
      <c r="M35" s="38">
        <f t="shared" si="11"/>
        <v>0</v>
      </c>
      <c r="N35" s="38">
        <f t="shared" si="12"/>
        <v>0</v>
      </c>
      <c r="O35" s="53">
        <f t="shared" si="4"/>
        <v>0</v>
      </c>
      <c r="P35" s="62"/>
      <c r="Q35" s="36"/>
      <c r="R35" s="37"/>
      <c r="S35" s="107"/>
      <c r="T35" s="38"/>
      <c r="U35" s="39"/>
      <c r="V35" s="40"/>
      <c r="W35" s="41"/>
      <c r="X35" s="77"/>
      <c r="AB35" s="77"/>
      <c r="AC35" s="77"/>
      <c r="AD35" s="77"/>
      <c r="AE35" s="77"/>
      <c r="AF35" s="77"/>
      <c r="AG35" s="77"/>
      <c r="AH35" s="77"/>
    </row>
    <row r="36" spans="2:34" x14ac:dyDescent="0.25">
      <c r="B36" s="29">
        <v>7912809</v>
      </c>
      <c r="D36" s="36">
        <f t="shared" si="1"/>
        <v>21</v>
      </c>
      <c r="E36" s="37">
        <f t="shared" si="26"/>
        <v>46749</v>
      </c>
      <c r="F36" s="107">
        <f t="shared" si="25"/>
        <v>0</v>
      </c>
      <c r="G36" s="42">
        <f t="shared" si="24"/>
        <v>0</v>
      </c>
      <c r="H36" s="42">
        <f t="shared" si="9"/>
        <v>0</v>
      </c>
      <c r="I36" s="42">
        <f t="shared" si="3"/>
        <v>0</v>
      </c>
      <c r="J36" s="41" t="s">
        <v>36</v>
      </c>
      <c r="L36" s="54">
        <f>+WORKDAY(E36-1,1,[1]Feriados!$A$2:$A$112)</f>
        <v>46749</v>
      </c>
      <c r="M36" s="38">
        <f t="shared" si="11"/>
        <v>0</v>
      </c>
      <c r="N36" s="38">
        <f t="shared" si="12"/>
        <v>0</v>
      </c>
      <c r="O36" s="53">
        <f t="shared" si="4"/>
        <v>0</v>
      </c>
      <c r="P36" s="62"/>
      <c r="Q36" s="36"/>
      <c r="R36" s="37"/>
      <c r="S36" s="107"/>
      <c r="T36" s="38"/>
      <c r="U36" s="39"/>
      <c r="V36" s="40"/>
      <c r="W36" s="41"/>
      <c r="X36" s="77"/>
      <c r="AB36" s="77"/>
      <c r="AC36" s="77"/>
      <c r="AD36" s="77"/>
      <c r="AE36" s="77"/>
      <c r="AF36" s="77"/>
      <c r="AG36" s="77"/>
      <c r="AH36" s="77"/>
    </row>
    <row r="37" spans="2:34" x14ac:dyDescent="0.25">
      <c r="B37" s="29">
        <v>6500941</v>
      </c>
      <c r="D37" s="36">
        <f t="shared" si="1"/>
        <v>22</v>
      </c>
      <c r="E37" s="37">
        <f t="shared" si="26"/>
        <v>46780</v>
      </c>
      <c r="F37" s="107">
        <f t="shared" si="25"/>
        <v>0</v>
      </c>
      <c r="G37" s="42">
        <f t="shared" si="24"/>
        <v>0</v>
      </c>
      <c r="H37" s="42">
        <f t="shared" si="9"/>
        <v>0</v>
      </c>
      <c r="I37" s="42">
        <f t="shared" si="3"/>
        <v>0</v>
      </c>
      <c r="J37" s="41" t="s">
        <v>36</v>
      </c>
      <c r="L37" s="54">
        <f>+WORKDAY(E37-1,1,[1]Feriados!$A$2:$A$112)</f>
        <v>46780</v>
      </c>
      <c r="M37" s="38">
        <f t="shared" si="11"/>
        <v>0</v>
      </c>
      <c r="N37" s="38">
        <f t="shared" si="12"/>
        <v>0</v>
      </c>
      <c r="O37" s="53">
        <f t="shared" si="4"/>
        <v>0</v>
      </c>
      <c r="P37" s="62"/>
      <c r="Q37" s="36"/>
      <c r="R37" s="37"/>
      <c r="S37" s="107"/>
      <c r="T37" s="38"/>
      <c r="U37" s="39"/>
      <c r="V37" s="40"/>
      <c r="W37" s="41"/>
      <c r="X37" s="77"/>
      <c r="AB37" s="77"/>
      <c r="AC37" s="77"/>
      <c r="AD37" s="77"/>
      <c r="AE37" s="77"/>
      <c r="AF37" s="77"/>
      <c r="AG37" s="77"/>
      <c r="AH37" s="77"/>
    </row>
    <row r="38" spans="2:34" x14ac:dyDescent="0.25">
      <c r="B38" s="29">
        <v>2594487</v>
      </c>
      <c r="D38" s="36">
        <f t="shared" si="1"/>
        <v>23</v>
      </c>
      <c r="E38" s="37">
        <f t="shared" si="26"/>
        <v>46811</v>
      </c>
      <c r="F38" s="107">
        <f t="shared" si="25"/>
        <v>0</v>
      </c>
      <c r="G38" s="42">
        <f t="shared" si="24"/>
        <v>0</v>
      </c>
      <c r="H38" s="42">
        <f t="shared" si="9"/>
        <v>0</v>
      </c>
      <c r="I38" s="42">
        <f t="shared" si="3"/>
        <v>0</v>
      </c>
      <c r="J38" s="41" t="s">
        <v>36</v>
      </c>
      <c r="L38" s="54">
        <f>+WORKDAY(E38-1,1,[1]Feriados!$A$2:$A$112)</f>
        <v>46811</v>
      </c>
      <c r="M38" s="38">
        <f t="shared" si="11"/>
        <v>0</v>
      </c>
      <c r="N38" s="38">
        <f t="shared" si="12"/>
        <v>0</v>
      </c>
      <c r="O38" s="53">
        <f t="shared" si="4"/>
        <v>0</v>
      </c>
      <c r="P38" s="62"/>
      <c r="Q38" s="36"/>
      <c r="R38" s="37"/>
      <c r="S38" s="107"/>
      <c r="T38" s="38"/>
      <c r="U38" s="39"/>
      <c r="V38" s="40"/>
      <c r="W38" s="41"/>
      <c r="X38" s="77"/>
      <c r="AB38" s="77"/>
      <c r="AC38" s="77"/>
      <c r="AD38" s="77"/>
      <c r="AE38" s="77"/>
      <c r="AF38" s="77"/>
      <c r="AG38" s="77"/>
      <c r="AH38" s="77"/>
    </row>
    <row r="39" spans="2:34" x14ac:dyDescent="0.25">
      <c r="B39" s="48">
        <v>393829</v>
      </c>
      <c r="D39" s="36">
        <f t="shared" si="1"/>
        <v>24</v>
      </c>
      <c r="E39" s="37">
        <f t="shared" si="26"/>
        <v>46840</v>
      </c>
      <c r="F39" s="107">
        <f t="shared" si="25"/>
        <v>0</v>
      </c>
      <c r="G39" s="42">
        <f>+I38*(MAX($F$8,MIN($G$8,$D$7+$D$8)))/$D$10*Y40</f>
        <v>0</v>
      </c>
      <c r="H39" s="42">
        <f t="shared" si="9"/>
        <v>0</v>
      </c>
      <c r="I39" s="42">
        <f t="shared" si="3"/>
        <v>0</v>
      </c>
      <c r="J39" s="41" t="s">
        <v>36</v>
      </c>
      <c r="L39" s="54">
        <f>+WORKDAY(E39-1,1,[1]Feriados!$A$2:$A$112)</f>
        <v>46840</v>
      </c>
      <c r="M39" s="38">
        <f t="shared" si="11"/>
        <v>0</v>
      </c>
      <c r="N39" s="38">
        <f t="shared" si="12"/>
        <v>0</v>
      </c>
      <c r="O39" s="53">
        <f t="shared" si="4"/>
        <v>0</v>
      </c>
      <c r="P39" s="62"/>
      <c r="Q39" s="36"/>
      <c r="R39" s="37"/>
      <c r="S39" s="107"/>
      <c r="T39" s="38"/>
      <c r="U39" s="39"/>
      <c r="V39" s="40"/>
      <c r="W39" s="41"/>
      <c r="X39" s="77"/>
      <c r="AB39" s="77"/>
      <c r="AC39" s="77"/>
      <c r="AD39" s="77"/>
      <c r="AE39" s="77"/>
      <c r="AF39" s="77"/>
      <c r="AG39" s="77"/>
      <c r="AH39" s="77"/>
    </row>
    <row r="40" spans="2:34" x14ac:dyDescent="0.25">
      <c r="B40" s="48">
        <v>3010325</v>
      </c>
      <c r="D40" s="36">
        <f t="shared" si="1"/>
        <v>25</v>
      </c>
      <c r="E40" s="37">
        <f t="shared" si="26"/>
        <v>46871</v>
      </c>
      <c r="F40" s="107">
        <f t="shared" si="25"/>
        <v>0</v>
      </c>
      <c r="G40" s="42">
        <f>+I39*(MAX($F$8,MIN($G$8,$D$7+$D$8)))/$D$10*Y41</f>
        <v>0</v>
      </c>
      <c r="H40" s="42">
        <f t="shared" si="9"/>
        <v>0</v>
      </c>
      <c r="I40" s="42">
        <f t="shared" si="3"/>
        <v>0</v>
      </c>
      <c r="J40" s="41" t="s">
        <v>36</v>
      </c>
      <c r="L40" s="54">
        <f>+WORKDAY(E40-1,1,[1]Feriados!$A$2:$A$112)</f>
        <v>46871</v>
      </c>
      <c r="M40" s="38">
        <f t="shared" si="11"/>
        <v>0</v>
      </c>
      <c r="N40" s="38">
        <f t="shared" si="12"/>
        <v>0</v>
      </c>
      <c r="O40" s="53">
        <f t="shared" si="4"/>
        <v>0</v>
      </c>
      <c r="P40" s="62"/>
      <c r="Q40" s="36"/>
      <c r="R40" s="37"/>
      <c r="S40" s="107"/>
      <c r="T40" s="38"/>
      <c r="U40" s="39"/>
      <c r="V40" s="40"/>
      <c r="W40" s="41"/>
      <c r="X40" s="77"/>
      <c r="Y40" s="78"/>
      <c r="AB40" s="77"/>
      <c r="AC40" s="77"/>
      <c r="AD40" s="77"/>
      <c r="AE40" s="77"/>
      <c r="AF40" s="77"/>
      <c r="AG40" s="77"/>
      <c r="AH40" s="77"/>
    </row>
    <row r="41" spans="2:34" x14ac:dyDescent="0.25">
      <c r="B41" s="48"/>
      <c r="D41" s="36">
        <f t="shared" si="1"/>
        <v>26</v>
      </c>
      <c r="E41" s="37">
        <f t="shared" si="26"/>
        <v>46901</v>
      </c>
      <c r="F41" s="107">
        <f t="shared" si="25"/>
        <v>0</v>
      </c>
      <c r="G41" s="42">
        <f>+I40*(MAX($F$8,MIN($G$8,$D$7+$D$8)))/$D$10*Y42</f>
        <v>0</v>
      </c>
      <c r="H41" s="42">
        <f t="shared" si="9"/>
        <v>0</v>
      </c>
      <c r="I41" s="42">
        <f t="shared" si="3"/>
        <v>0</v>
      </c>
      <c r="J41" s="41" t="s">
        <v>36</v>
      </c>
      <c r="L41" s="54">
        <f>+WORKDAY(E41-1,1,[1]Feriados!$A$2:$A$112)</f>
        <v>46902</v>
      </c>
      <c r="M41" s="38">
        <f t="shared" si="11"/>
        <v>0</v>
      </c>
      <c r="N41" s="38">
        <f t="shared" si="12"/>
        <v>0</v>
      </c>
      <c r="O41" s="53">
        <f t="shared" si="4"/>
        <v>0</v>
      </c>
      <c r="P41" s="62"/>
      <c r="Q41" s="36"/>
      <c r="R41" s="37"/>
      <c r="S41" s="107"/>
      <c r="T41" s="38"/>
      <c r="U41" s="39"/>
      <c r="V41" s="40"/>
      <c r="W41" s="41"/>
      <c r="X41" s="77"/>
      <c r="Y41" s="78"/>
      <c r="AB41" s="77"/>
      <c r="AC41" s="77"/>
      <c r="AD41" s="77"/>
      <c r="AE41" s="77"/>
      <c r="AF41" s="77"/>
      <c r="AG41" s="77"/>
      <c r="AH41" s="77"/>
    </row>
    <row r="42" spans="2:34" x14ac:dyDescent="0.25">
      <c r="B42" s="48"/>
      <c r="D42" s="36">
        <f t="shared" si="1"/>
        <v>27</v>
      </c>
      <c r="E42" s="37">
        <f t="shared" si="26"/>
        <v>46932</v>
      </c>
      <c r="F42" s="107">
        <f t="shared" si="25"/>
        <v>0</v>
      </c>
      <c r="G42" s="42">
        <f>+I41*(MAX($F$8,MIN($G$8,$D$7+$D$8)))/$D$10*AA43</f>
        <v>0</v>
      </c>
      <c r="H42" s="42">
        <f t="shared" si="9"/>
        <v>0</v>
      </c>
      <c r="I42" s="42">
        <f t="shared" si="3"/>
        <v>0</v>
      </c>
      <c r="J42" s="41" t="s">
        <v>36</v>
      </c>
      <c r="L42" s="54">
        <f>+WORKDAY(E42-1,1,[1]Feriados!$A$2:$A$112)</f>
        <v>46932</v>
      </c>
      <c r="M42" s="38">
        <f t="shared" si="11"/>
        <v>0</v>
      </c>
      <c r="N42" s="38">
        <f t="shared" si="12"/>
        <v>0</v>
      </c>
      <c r="O42" s="53">
        <f t="shared" si="4"/>
        <v>0</v>
      </c>
      <c r="P42" s="62"/>
      <c r="Q42" s="43"/>
      <c r="R42" s="44"/>
      <c r="S42" s="45">
        <f>SUM(S16:S41)</f>
        <v>2222110310</v>
      </c>
      <c r="T42" s="45">
        <f>SUM(T16:T41)</f>
        <v>157449355</v>
      </c>
      <c r="U42" s="45">
        <f>SUM(U16:U41)</f>
        <v>2379559665</v>
      </c>
      <c r="V42" s="46"/>
      <c r="W42" s="47">
        <f>+SUM(W16:W25)</f>
        <v>1</v>
      </c>
      <c r="X42" s="77"/>
      <c r="Y42" s="77"/>
      <c r="AB42" s="77"/>
      <c r="AC42" s="77"/>
      <c r="AD42" s="77"/>
      <c r="AE42" s="77"/>
      <c r="AF42" s="77"/>
      <c r="AG42" s="77"/>
      <c r="AH42" s="77"/>
    </row>
    <row r="43" spans="2:34" x14ac:dyDescent="0.25">
      <c r="B43" s="48"/>
      <c r="D43" s="36">
        <f t="shared" si="1"/>
        <v>28</v>
      </c>
      <c r="E43" s="37">
        <f t="shared" si="26"/>
        <v>46962</v>
      </c>
      <c r="F43" s="107">
        <f t="shared" si="25"/>
        <v>0</v>
      </c>
      <c r="G43" s="42">
        <f>+I42*(MAX($F$8,MIN($G$8,$D$7+$D$8)))/$D$10*AA44</f>
        <v>0</v>
      </c>
      <c r="H43" s="42">
        <f t="shared" si="9"/>
        <v>0</v>
      </c>
      <c r="I43" s="42">
        <f t="shared" si="3"/>
        <v>0</v>
      </c>
      <c r="J43" s="41" t="s">
        <v>36</v>
      </c>
      <c r="L43" s="54">
        <f>+WORKDAY(E43-1,1,[1]Feriados!$A$2:$A$112)</f>
        <v>46962</v>
      </c>
      <c r="M43" s="38">
        <f t="shared" si="11"/>
        <v>0</v>
      </c>
      <c r="N43" s="38">
        <f t="shared" si="12"/>
        <v>0</v>
      </c>
      <c r="O43" s="53">
        <f t="shared" si="4"/>
        <v>0</v>
      </c>
      <c r="P43" s="62"/>
      <c r="Q43" s="75"/>
      <c r="Z43" s="77"/>
      <c r="AA43" s="77"/>
      <c r="AB43" s="77"/>
      <c r="AC43" s="77"/>
      <c r="AD43" s="77"/>
      <c r="AE43" s="77"/>
      <c r="AF43" s="77"/>
      <c r="AG43" s="77"/>
      <c r="AH43" s="77"/>
    </row>
    <row r="44" spans="2:34" x14ac:dyDescent="0.25">
      <c r="B44" s="48"/>
      <c r="D44" s="36">
        <f t="shared" si="1"/>
        <v>29</v>
      </c>
      <c r="E44" s="37">
        <f t="shared" si="26"/>
        <v>46993</v>
      </c>
      <c r="F44" s="107">
        <f t="shared" si="25"/>
        <v>0</v>
      </c>
      <c r="G44" s="42">
        <f>+I43*(MAX($F$8,MIN($G$8,$D$7+$D$8)))/$D$10*AA45</f>
        <v>0</v>
      </c>
      <c r="H44" s="42">
        <f t="shared" si="9"/>
        <v>0</v>
      </c>
      <c r="I44" s="42">
        <f t="shared" si="3"/>
        <v>0</v>
      </c>
      <c r="J44" s="41" t="s">
        <v>36</v>
      </c>
      <c r="L44" s="54">
        <f>+WORKDAY(E44-1,1,[1]Feriados!$A$2:$A$112)</f>
        <v>46993</v>
      </c>
      <c r="M44" s="38">
        <f t="shared" si="11"/>
        <v>0</v>
      </c>
      <c r="N44" s="38">
        <f t="shared" si="12"/>
        <v>0</v>
      </c>
      <c r="O44" s="53">
        <f t="shared" si="4"/>
        <v>0</v>
      </c>
      <c r="P44" s="62"/>
      <c r="Q44" s="75"/>
    </row>
    <row r="45" spans="2:34" x14ac:dyDescent="0.25">
      <c r="B45" s="48"/>
      <c r="D45" s="36">
        <f t="shared" si="1"/>
        <v>30</v>
      </c>
      <c r="E45" s="37">
        <f t="shared" si="26"/>
        <v>47024</v>
      </c>
      <c r="F45" s="107">
        <f t="shared" si="25"/>
        <v>0</v>
      </c>
      <c r="G45" s="42">
        <f>+I44*(MAX($F$8,MIN($G$8,$D$7+$D$8)))/$D$10*AA46</f>
        <v>0</v>
      </c>
      <c r="H45" s="42">
        <f t="shared" si="9"/>
        <v>0</v>
      </c>
      <c r="I45" s="42">
        <f t="shared" si="3"/>
        <v>0</v>
      </c>
      <c r="J45" s="41" t="s">
        <v>36</v>
      </c>
      <c r="L45" s="54">
        <f>+WORKDAY(E45-1,1,[1]Feriados!$A$2:$A$112)</f>
        <v>47024</v>
      </c>
      <c r="M45" s="38">
        <f t="shared" si="11"/>
        <v>0</v>
      </c>
      <c r="N45" s="38">
        <f t="shared" si="12"/>
        <v>0</v>
      </c>
      <c r="O45" s="53">
        <f t="shared" si="4"/>
        <v>0</v>
      </c>
      <c r="P45" s="62"/>
      <c r="Q45" s="75"/>
    </row>
    <row r="46" spans="2:34" x14ac:dyDescent="0.25">
      <c r="B46" s="48"/>
      <c r="D46" s="36">
        <f t="shared" si="1"/>
        <v>31</v>
      </c>
      <c r="E46" s="37">
        <f t="shared" si="26"/>
        <v>47054</v>
      </c>
      <c r="F46" s="107">
        <f t="shared" si="25"/>
        <v>0</v>
      </c>
      <c r="G46" s="42">
        <f t="shared" ref="G46:G50" si="27">+I45*(MAX($F$8,MIN($G$8,$D$7+$D$8)))/$D$10*AA47</f>
        <v>0</v>
      </c>
      <c r="H46" s="42">
        <f t="shared" si="9"/>
        <v>0</v>
      </c>
      <c r="I46" s="42">
        <f t="shared" si="3"/>
        <v>0</v>
      </c>
      <c r="J46" s="41" t="s">
        <v>36</v>
      </c>
      <c r="L46" s="54">
        <f>+WORKDAY(E46-1,1,[1]Feriados!$A$2:$A$112)</f>
        <v>47056</v>
      </c>
      <c r="M46" s="38">
        <f t="shared" si="11"/>
        <v>0</v>
      </c>
      <c r="N46" s="38">
        <f t="shared" si="12"/>
        <v>0</v>
      </c>
      <c r="O46" s="53">
        <f t="shared" si="4"/>
        <v>0</v>
      </c>
      <c r="P46" s="62"/>
      <c r="Q46" s="75"/>
    </row>
    <row r="47" spans="2:34" x14ac:dyDescent="0.25">
      <c r="B47" s="48"/>
      <c r="D47" s="36">
        <f t="shared" si="1"/>
        <v>32</v>
      </c>
      <c r="E47" s="37">
        <f t="shared" si="26"/>
        <v>47085</v>
      </c>
      <c r="F47" s="107">
        <f t="shared" si="25"/>
        <v>0</v>
      </c>
      <c r="G47" s="42">
        <f t="shared" si="27"/>
        <v>0</v>
      </c>
      <c r="H47" s="42">
        <f t="shared" si="9"/>
        <v>0</v>
      </c>
      <c r="I47" s="42">
        <f t="shared" si="3"/>
        <v>0</v>
      </c>
      <c r="J47" s="41" t="s">
        <v>36</v>
      </c>
      <c r="L47" s="54">
        <f>+WORKDAY(E47-1,1,[1]Feriados!$A$2:$A$112)</f>
        <v>47085</v>
      </c>
      <c r="M47" s="38">
        <f t="shared" si="11"/>
        <v>0</v>
      </c>
      <c r="N47" s="38">
        <f t="shared" si="12"/>
        <v>0</v>
      </c>
      <c r="O47" s="53">
        <f t="shared" si="4"/>
        <v>0</v>
      </c>
      <c r="P47" s="62"/>
      <c r="Q47" s="75"/>
    </row>
    <row r="48" spans="2:34" x14ac:dyDescent="0.25">
      <c r="B48" s="48"/>
      <c r="D48" s="36">
        <f t="shared" si="1"/>
        <v>33</v>
      </c>
      <c r="E48" s="37">
        <f t="shared" si="26"/>
        <v>47115</v>
      </c>
      <c r="F48" s="107">
        <f t="shared" si="25"/>
        <v>0</v>
      </c>
      <c r="G48" s="42">
        <f t="shared" si="27"/>
        <v>0</v>
      </c>
      <c r="H48" s="42">
        <f t="shared" si="9"/>
        <v>0</v>
      </c>
      <c r="I48" s="42">
        <f t="shared" si="3"/>
        <v>0</v>
      </c>
      <c r="J48" s="41" t="s">
        <v>36</v>
      </c>
      <c r="L48" s="54">
        <f>+WORKDAY(E48-1,1,[1]Feriados!$A$2:$A$112)</f>
        <v>47115</v>
      </c>
      <c r="M48" s="38">
        <f t="shared" si="11"/>
        <v>0</v>
      </c>
      <c r="N48" s="38">
        <f t="shared" si="12"/>
        <v>0</v>
      </c>
      <c r="O48" s="53">
        <f t="shared" si="4"/>
        <v>0</v>
      </c>
      <c r="P48" s="62"/>
      <c r="Q48" s="75"/>
    </row>
    <row r="49" spans="2:17" x14ac:dyDescent="0.25">
      <c r="B49" s="48"/>
      <c r="D49" s="36">
        <f t="shared" si="1"/>
        <v>34</v>
      </c>
      <c r="E49" s="37">
        <f t="shared" si="26"/>
        <v>47146</v>
      </c>
      <c r="F49" s="107">
        <f t="shared" si="25"/>
        <v>0</v>
      </c>
      <c r="G49" s="42">
        <f t="shared" si="27"/>
        <v>0</v>
      </c>
      <c r="H49" s="42">
        <f t="shared" si="9"/>
        <v>0</v>
      </c>
      <c r="I49" s="42">
        <f t="shared" si="3"/>
        <v>0</v>
      </c>
      <c r="J49" s="41" t="s">
        <v>36</v>
      </c>
      <c r="L49" s="54">
        <f>+WORKDAY(E49-1,1,[1]Feriados!$A$2:$A$112)</f>
        <v>47147</v>
      </c>
      <c r="M49" s="38">
        <f t="shared" si="11"/>
        <v>0</v>
      </c>
      <c r="N49" s="38">
        <f t="shared" si="12"/>
        <v>0</v>
      </c>
      <c r="O49" s="53">
        <f t="shared" si="4"/>
        <v>0</v>
      </c>
      <c r="P49" s="62"/>
      <c r="Q49" s="75"/>
    </row>
    <row r="50" spans="2:17" x14ac:dyDescent="0.25">
      <c r="B50" s="49"/>
      <c r="D50" s="36">
        <f t="shared" si="1"/>
        <v>35</v>
      </c>
      <c r="E50" s="37">
        <f t="shared" si="26"/>
        <v>47177</v>
      </c>
      <c r="F50" s="107">
        <f t="shared" si="25"/>
        <v>0</v>
      </c>
      <c r="G50" s="42">
        <f t="shared" si="27"/>
        <v>0</v>
      </c>
      <c r="H50" s="42">
        <f t="shared" si="9"/>
        <v>0</v>
      </c>
      <c r="I50" s="42">
        <f t="shared" si="3"/>
        <v>0</v>
      </c>
      <c r="J50" s="41" t="s">
        <v>36</v>
      </c>
      <c r="L50" s="54">
        <f>+WORKDAY(E50-1,1,[1]Feriados!$A$2:$A$112)</f>
        <v>47177</v>
      </c>
      <c r="M50" s="38">
        <f t="shared" si="11"/>
        <v>0</v>
      </c>
      <c r="N50" s="38">
        <f t="shared" si="12"/>
        <v>0</v>
      </c>
      <c r="O50" s="53">
        <f t="shared" si="4"/>
        <v>0</v>
      </c>
      <c r="P50" s="62"/>
      <c r="Q50" s="75"/>
    </row>
    <row r="51" spans="2:17" x14ac:dyDescent="0.25">
      <c r="B51" s="45">
        <f>SUM(B16:B50)</f>
        <v>4206009576</v>
      </c>
      <c r="D51" s="43"/>
      <c r="E51" s="44"/>
      <c r="F51" s="45">
        <f>SUM(F16:F50)</f>
        <v>2222110310.0000005</v>
      </c>
      <c r="G51" s="45">
        <f>SUM(G16:G50)</f>
        <v>164135069.76699042</v>
      </c>
      <c r="H51" s="45">
        <f>SUM(H16:H50)</f>
        <v>2386245379.7669907</v>
      </c>
      <c r="I51" s="46"/>
      <c r="J51" s="47"/>
      <c r="L51" s="55"/>
      <c r="M51" s="56"/>
      <c r="N51" s="57">
        <f>+SUM(N16:N50)</f>
        <v>2217585362.1263409</v>
      </c>
      <c r="O51" s="57">
        <f>SUM(O16:O50)</f>
        <v>574854660.00023329</v>
      </c>
    </row>
    <row r="52" spans="2:17" x14ac:dyDescent="0.25">
      <c r="L52" s="5"/>
      <c r="M52" s="58" t="s">
        <v>40</v>
      </c>
      <c r="N52" s="59"/>
      <c r="O52" s="60">
        <f>+O51/N51</f>
        <v>0.25922549355621266</v>
      </c>
    </row>
    <row r="53" spans="2:17" x14ac:dyDescent="0.25">
      <c r="D53" s="115"/>
      <c r="L53" s="5"/>
      <c r="M53" s="58" t="s">
        <v>41</v>
      </c>
      <c r="N53" s="59"/>
      <c r="O53" s="61">
        <f>+XIRR(M14:M50,L14:L50)</f>
        <v>0.32344173789024355</v>
      </c>
    </row>
    <row r="56" spans="2:17" x14ac:dyDescent="0.25">
      <c r="E56" s="123" t="s">
        <v>55</v>
      </c>
      <c r="F56" s="123"/>
      <c r="G56" s="123" t="s">
        <v>61</v>
      </c>
      <c r="H56" s="123"/>
    </row>
    <row r="57" spans="2:17" x14ac:dyDescent="0.25">
      <c r="E57" s="78">
        <f>+E15</f>
        <v>46132</v>
      </c>
      <c r="F57" s="75">
        <f>+M15</f>
        <v>0</v>
      </c>
      <c r="G57" s="62">
        <f>+E57</f>
        <v>46132</v>
      </c>
      <c r="H57" s="75">
        <f>+-D6*Calculadora!E31</f>
        <v>-2219793512.4582324</v>
      </c>
    </row>
    <row r="58" spans="2:17" x14ac:dyDescent="0.25">
      <c r="E58" s="78">
        <f t="shared" ref="E58:E65" si="28">+E16</f>
        <v>46140</v>
      </c>
      <c r="F58" s="75">
        <f>+M16</f>
        <v>104399803</v>
      </c>
      <c r="G58" s="62">
        <f t="shared" ref="G58:G65" si="29">+E58</f>
        <v>46140</v>
      </c>
      <c r="H58" s="75">
        <f>+U16</f>
        <v>104399803</v>
      </c>
    </row>
    <row r="59" spans="2:17" x14ac:dyDescent="0.25">
      <c r="E59" s="78">
        <f t="shared" si="28"/>
        <v>46170</v>
      </c>
      <c r="F59" s="75">
        <f t="shared" ref="F59:F65" si="30">+M17</f>
        <v>439145775</v>
      </c>
      <c r="G59" s="62">
        <f t="shared" si="29"/>
        <v>46170</v>
      </c>
      <c r="H59" s="75">
        <f t="shared" ref="H59:H62" si="31">+U17</f>
        <v>439145775</v>
      </c>
    </row>
    <row r="60" spans="2:17" x14ac:dyDescent="0.25">
      <c r="E60" s="78">
        <f t="shared" si="28"/>
        <v>46202</v>
      </c>
      <c r="F60" s="75">
        <f t="shared" si="30"/>
        <v>494098909</v>
      </c>
      <c r="G60" s="62">
        <f t="shared" si="29"/>
        <v>46202</v>
      </c>
      <c r="H60" s="75">
        <f t="shared" si="31"/>
        <v>494098909</v>
      </c>
    </row>
    <row r="61" spans="2:17" x14ac:dyDescent="0.25">
      <c r="E61" s="78">
        <f t="shared" si="28"/>
        <v>46231</v>
      </c>
      <c r="F61" s="75">
        <f t="shared" si="30"/>
        <v>502323477</v>
      </c>
      <c r="G61" s="62">
        <f t="shared" si="29"/>
        <v>46231</v>
      </c>
      <c r="H61" s="75">
        <f t="shared" si="31"/>
        <v>502323477</v>
      </c>
    </row>
    <row r="62" spans="2:17" x14ac:dyDescent="0.25">
      <c r="E62" s="78">
        <f t="shared" si="28"/>
        <v>46262</v>
      </c>
      <c r="F62" s="75">
        <f t="shared" si="30"/>
        <v>431092023</v>
      </c>
      <c r="G62" s="62">
        <f t="shared" si="29"/>
        <v>46262</v>
      </c>
      <c r="H62" s="75">
        <f t="shared" si="31"/>
        <v>431092023</v>
      </c>
    </row>
    <row r="63" spans="2:17" x14ac:dyDescent="0.25">
      <c r="E63" s="78">
        <f t="shared" si="28"/>
        <v>46293</v>
      </c>
      <c r="F63" s="75">
        <f t="shared" si="30"/>
        <v>348613050</v>
      </c>
      <c r="G63" s="62">
        <f t="shared" si="29"/>
        <v>46293</v>
      </c>
      <c r="H63" s="75">
        <f>+U21</f>
        <v>348613050</v>
      </c>
    </row>
    <row r="64" spans="2:17" x14ac:dyDescent="0.25">
      <c r="E64" s="78">
        <f t="shared" si="28"/>
        <v>46323</v>
      </c>
      <c r="F64" s="75">
        <f t="shared" si="30"/>
        <v>66572342.766990565</v>
      </c>
      <c r="G64" s="62">
        <f t="shared" si="29"/>
        <v>46323</v>
      </c>
      <c r="H64" s="75">
        <f t="shared" ref="H64:H65" si="32">+U22</f>
        <v>59886628</v>
      </c>
    </row>
    <row r="65" spans="5:8" x14ac:dyDescent="0.25">
      <c r="E65" s="78">
        <f t="shared" si="28"/>
        <v>46354</v>
      </c>
      <c r="F65" s="75">
        <f t="shared" si="30"/>
        <v>0</v>
      </c>
      <c r="G65" s="62">
        <f t="shared" si="29"/>
        <v>46354</v>
      </c>
      <c r="H65" s="75">
        <f t="shared" si="32"/>
        <v>0</v>
      </c>
    </row>
    <row r="66" spans="5:8" x14ac:dyDescent="0.25">
      <c r="E66" s="78"/>
      <c r="F66" s="75"/>
      <c r="G66" s="62"/>
      <c r="H66" s="75"/>
    </row>
    <row r="67" spans="5:8" x14ac:dyDescent="0.25">
      <c r="E67" s="78"/>
      <c r="F67" s="75"/>
      <c r="G67" s="62"/>
      <c r="H67" s="75"/>
    </row>
  </sheetData>
  <sheetProtection algorithmName="SHA-512" hashValue="cydYZ1ZYs4C0yaBKpFhqwBk8CkTWwPTqynxIaA0E3gqchFdxZE9rK+efUwJXHXDXTnmPwp9r2MTnr4swEe1NUg==" saltValue="KlyTLNt7Rp6A3dCWXc6/pw==" spinCount="100000" sheet="1" objects="1" scenarios="1"/>
  <mergeCells count="14">
    <mergeCell ref="B6:C6"/>
    <mergeCell ref="F6:G6"/>
    <mergeCell ref="D13:J13"/>
    <mergeCell ref="L13:O13"/>
    <mergeCell ref="Y28:Z28"/>
    <mergeCell ref="E56:F56"/>
    <mergeCell ref="G56:H56"/>
    <mergeCell ref="Q13:W13"/>
    <mergeCell ref="I6:J6"/>
    <mergeCell ref="I7:J7"/>
    <mergeCell ref="I8:J8"/>
    <mergeCell ref="I9:J9"/>
    <mergeCell ref="I10:J10"/>
    <mergeCell ref="I11:J11"/>
  </mergeCells>
  <pageMargins left="0.7" right="0.7" top="0.75" bottom="0.75" header="0.3" footer="0.3"/>
  <ignoredErrors>
    <ignoredError sqref="D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1167-B4A3-4B11-A0AE-83074CFA784D}">
  <dimension ref="B5:AA71"/>
  <sheetViews>
    <sheetView showGridLines="0" topLeftCell="A4" zoomScale="90" zoomScaleNormal="90" workbookViewId="0">
      <selection activeCell="H17" sqref="H17"/>
    </sheetView>
  </sheetViews>
  <sheetFormatPr baseColWidth="10" defaultRowHeight="15" x14ac:dyDescent="0.25"/>
  <cols>
    <col min="2" max="2" width="14.140625" bestFit="1" customWidth="1"/>
    <col min="4" max="4" width="11.140625" bestFit="1" customWidth="1"/>
    <col min="5" max="5" width="10.85546875" bestFit="1" customWidth="1"/>
    <col min="6" max="6" width="25.140625" bestFit="1" customWidth="1"/>
    <col min="7" max="7" width="11.5703125" bestFit="1" customWidth="1"/>
    <col min="8" max="9" width="10.42578125" bestFit="1" customWidth="1"/>
    <col min="10" max="10" width="9.85546875" bestFit="1" customWidth="1"/>
    <col min="12" max="12" width="9.85546875" bestFit="1" customWidth="1"/>
    <col min="13" max="13" width="25.85546875" bestFit="1" customWidth="1"/>
    <col min="14" max="14" width="10.85546875" bestFit="1" customWidth="1"/>
    <col min="15" max="15" width="12.5703125" bestFit="1" customWidth="1"/>
    <col min="17" max="17" width="5.42578125" bestFit="1" customWidth="1"/>
    <col min="18" max="20" width="9.85546875" bestFit="1" customWidth="1"/>
    <col min="21" max="22" width="10.42578125" bestFit="1" customWidth="1"/>
    <col min="23" max="23" width="9.85546875" bestFit="1" customWidth="1"/>
    <col min="24" max="24" width="12.28515625" bestFit="1" customWidth="1"/>
  </cols>
  <sheetData>
    <row r="5" spans="2:27" ht="15.75" thickBot="1" x14ac:dyDescent="0.3"/>
    <row r="6" spans="2:27" x14ac:dyDescent="0.25">
      <c r="B6" s="188" t="s">
        <v>19</v>
      </c>
      <c r="C6" s="189"/>
      <c r="D6" s="106">
        <f>+Calculadora!I12</f>
        <v>73215550</v>
      </c>
      <c r="F6" s="190" t="s">
        <v>22</v>
      </c>
      <c r="G6" s="191"/>
      <c r="J6" s="182" t="s">
        <v>54</v>
      </c>
      <c r="K6" s="183"/>
      <c r="L6" s="96">
        <f>+Calculadora!I18</f>
        <v>0.31</v>
      </c>
    </row>
    <row r="7" spans="2:27" x14ac:dyDescent="0.25">
      <c r="B7" s="15" t="s">
        <v>20</v>
      </c>
      <c r="C7" s="16"/>
      <c r="D7" s="17">
        <f>+Calculadora!I24</f>
        <v>0.22875000000000001</v>
      </c>
      <c r="F7" s="24" t="s">
        <v>25</v>
      </c>
      <c r="G7" s="25" t="s">
        <v>26</v>
      </c>
      <c r="J7" s="184" t="s">
        <v>55</v>
      </c>
      <c r="K7" s="185"/>
      <c r="L7" s="97">
        <f>+XNPV(L6,V15:V16,S15:S16)/D6</f>
        <v>0.99050250651689453</v>
      </c>
    </row>
    <row r="8" spans="2:27" x14ac:dyDescent="0.25">
      <c r="B8" s="15" t="s">
        <v>21</v>
      </c>
      <c r="C8" s="16"/>
      <c r="D8" s="18">
        <v>0.02</v>
      </c>
      <c r="F8" s="26">
        <f>+Calculadora!I16</f>
        <v>0.26</v>
      </c>
      <c r="G8" s="27">
        <f>+Calculadora!I17</f>
        <v>0.51</v>
      </c>
      <c r="J8" s="184" t="s">
        <v>6</v>
      </c>
      <c r="K8" s="185"/>
      <c r="L8" s="97">
        <f>+XIRR(N14:N18,M14:M18)</f>
        <v>0.31606402993202221</v>
      </c>
    </row>
    <row r="9" spans="2:27" x14ac:dyDescent="0.25">
      <c r="B9" s="15" t="s">
        <v>22</v>
      </c>
      <c r="C9" s="16"/>
      <c r="D9" s="19">
        <f>+IF(D7+D8&lt;F8,F8,IF(D7+D8&gt;G8,G8,D7+D8))</f>
        <v>0.26</v>
      </c>
      <c r="J9" s="184" t="s">
        <v>7</v>
      </c>
      <c r="K9" s="185"/>
      <c r="L9" s="98">
        <f>((1+L8)^(30/360)-1)*360/30</f>
        <v>0.2778125246337968</v>
      </c>
    </row>
    <row r="10" spans="2:27" x14ac:dyDescent="0.25">
      <c r="B10" s="15" t="s">
        <v>23</v>
      </c>
      <c r="C10" s="16"/>
      <c r="D10" s="20">
        <v>360</v>
      </c>
      <c r="J10" s="184" t="s">
        <v>60</v>
      </c>
      <c r="K10" s="185"/>
      <c r="L10" s="98">
        <f>+L9-D7</f>
        <v>4.9062524633796789E-2</v>
      </c>
      <c r="N10" s="119">
        <f>+E16-E15</f>
        <v>191</v>
      </c>
    </row>
    <row r="11" spans="2:27" ht="15.75" thickBot="1" x14ac:dyDescent="0.3">
      <c r="B11" s="21" t="s">
        <v>24</v>
      </c>
      <c r="C11" s="22"/>
      <c r="D11" s="23">
        <f>+Calculadora!E13</f>
        <v>46132</v>
      </c>
      <c r="F11" t="s">
        <v>67</v>
      </c>
      <c r="G11" s="117">
        <f>+VDFA!G11+D8-1%</f>
        <v>0.28208333333333341</v>
      </c>
      <c r="J11" s="186" t="s">
        <v>8</v>
      </c>
      <c r="K11" s="187"/>
      <c r="L11" s="99">
        <f>+O52*12</f>
        <v>6.3666666666666671</v>
      </c>
    </row>
    <row r="12" spans="2:27" x14ac:dyDescent="0.25">
      <c r="G12" s="120"/>
    </row>
    <row r="13" spans="2:27" x14ac:dyDescent="0.25">
      <c r="D13" s="193" t="s">
        <v>43</v>
      </c>
      <c r="E13" s="194"/>
      <c r="F13" s="194"/>
      <c r="G13" s="194"/>
      <c r="H13" s="194"/>
      <c r="I13" s="194"/>
      <c r="J13" s="194"/>
      <c r="K13" s="194"/>
      <c r="M13" s="179" t="s">
        <v>37</v>
      </c>
      <c r="N13" s="180"/>
      <c r="O13" s="180"/>
      <c r="P13" s="181"/>
      <c r="R13" s="179" t="s">
        <v>62</v>
      </c>
      <c r="S13" s="180"/>
      <c r="T13" s="180"/>
      <c r="U13" s="180"/>
      <c r="V13" s="180"/>
      <c r="W13" s="180"/>
      <c r="X13" s="181"/>
    </row>
    <row r="14" spans="2:27" ht="27" x14ac:dyDescent="0.25">
      <c r="B14" s="28" t="s">
        <v>27</v>
      </c>
      <c r="D14" s="31" t="s">
        <v>29</v>
      </c>
      <c r="E14" s="32" t="s">
        <v>30</v>
      </c>
      <c r="F14" s="33" t="s">
        <v>31</v>
      </c>
      <c r="G14" s="33" t="s">
        <v>71</v>
      </c>
      <c r="H14" s="33" t="s">
        <v>72</v>
      </c>
      <c r="I14" s="32" t="s">
        <v>33</v>
      </c>
      <c r="J14" s="33" t="s">
        <v>34</v>
      </c>
      <c r="K14" s="63" t="s">
        <v>35</v>
      </c>
      <c r="M14" s="50">
        <f>+Calculadora!E13</f>
        <v>46132</v>
      </c>
      <c r="N14" s="51">
        <f>+-D6*L7</f>
        <v>-72520185.791013017</v>
      </c>
      <c r="O14" s="51" t="s">
        <v>38</v>
      </c>
      <c r="P14" s="52" t="s">
        <v>65</v>
      </c>
      <c r="R14" s="31" t="s">
        <v>29</v>
      </c>
      <c r="S14" s="80">
        <f>+D11</f>
        <v>46132</v>
      </c>
      <c r="T14" s="33" t="s">
        <v>31</v>
      </c>
      <c r="U14" s="33" t="s">
        <v>32</v>
      </c>
      <c r="V14" s="32" t="s">
        <v>33</v>
      </c>
      <c r="W14" s="34" t="s">
        <v>34</v>
      </c>
      <c r="X14" s="35" t="s">
        <v>35</v>
      </c>
    </row>
    <row r="15" spans="2:27" x14ac:dyDescent="0.25">
      <c r="B15" s="29"/>
      <c r="D15" s="36"/>
      <c r="E15" s="65">
        <f>+D11</f>
        <v>46132</v>
      </c>
      <c r="F15" s="107"/>
      <c r="G15" s="39"/>
      <c r="H15" s="39"/>
      <c r="I15" s="39">
        <v>0</v>
      </c>
      <c r="J15" s="39">
        <f>+D6</f>
        <v>73215550</v>
      </c>
      <c r="K15" s="66"/>
      <c r="M15" s="54">
        <f>+M14</f>
        <v>46132</v>
      </c>
      <c r="N15" s="38"/>
      <c r="O15" s="38"/>
      <c r="P15" s="53"/>
      <c r="R15" s="36"/>
      <c r="S15" s="37">
        <f>+S14</f>
        <v>46132</v>
      </c>
      <c r="T15" s="107"/>
      <c r="U15" s="38">
        <v>0</v>
      </c>
      <c r="V15" s="39">
        <v>0</v>
      </c>
      <c r="W15" s="40">
        <f>+D6</f>
        <v>73215550</v>
      </c>
      <c r="X15" s="41"/>
    </row>
    <row r="16" spans="2:27" x14ac:dyDescent="0.25">
      <c r="B16" s="29">
        <f>+VDFA!B22-VDFA!H22</f>
        <v>238259129.23300943</v>
      </c>
      <c r="D16" s="36">
        <v>1</v>
      </c>
      <c r="E16" s="65">
        <f>+VDFA!E22</f>
        <v>46323</v>
      </c>
      <c r="F16" s="107">
        <f>MAX(MIN(J15,(B16-H16)),0)</f>
        <v>73215550</v>
      </c>
      <c r="G16" s="39"/>
      <c r="H16" s="39">
        <f>MIN((J15*G11/D10*45)+(J15*D9/D10*(AA16-45)),B16)</f>
        <v>10513295.3828125</v>
      </c>
      <c r="I16" s="39">
        <f t="shared" ref="I16:I21" si="0">+H16+F16</f>
        <v>83728845.3828125</v>
      </c>
      <c r="J16" s="39">
        <f>+$D$6-F16</f>
        <v>0</v>
      </c>
      <c r="K16" s="66">
        <f t="shared" ref="K16:K50" si="1">+F16/$D$6</f>
        <v>1</v>
      </c>
      <c r="M16" s="54">
        <f>+WORKDAY(E16-1,1,[1]Feriados!$A$2:$A$112)</f>
        <v>46323</v>
      </c>
      <c r="N16" s="38">
        <f>+I16</f>
        <v>83728845.3828125</v>
      </c>
      <c r="O16" s="38">
        <f t="shared" ref="O16:O50" si="2">+N16/((1+$O$53)^((M16-$M$14)/$D$10))</f>
        <v>72375573.334815413</v>
      </c>
      <c r="P16" s="53">
        <f t="shared" ref="P16:P50" si="3">+O16*((M16-$M$14)/$D$10)</f>
        <v>38399262.519304842</v>
      </c>
      <c r="R16" s="36">
        <v>1</v>
      </c>
      <c r="S16" s="37">
        <f>+E16</f>
        <v>46323</v>
      </c>
      <c r="T16" s="107">
        <v>73215550</v>
      </c>
      <c r="U16" s="38">
        <f>+(J15*F8/D10*AA16)</f>
        <v>10311189.958333334</v>
      </c>
      <c r="V16" s="39">
        <f t="shared" ref="V16" si="4">+T16+U16</f>
        <v>83526739.958333328</v>
      </c>
      <c r="W16" s="40">
        <f>+W15-T16</f>
        <v>0</v>
      </c>
      <c r="X16" s="41">
        <f>+T16/$D$6</f>
        <v>1</v>
      </c>
      <c r="Z16">
        <v>0</v>
      </c>
      <c r="AA16">
        <f>+SUM(VDFA!Y16:Y22)</f>
        <v>195</v>
      </c>
    </row>
    <row r="17" spans="2:27" x14ac:dyDescent="0.25">
      <c r="B17" s="29">
        <f>+VDFA!B23</f>
        <v>270129282</v>
      </c>
      <c r="D17" s="68">
        <f t="shared" ref="D17:D50" si="5">D16+1</f>
        <v>2</v>
      </c>
      <c r="E17" s="65">
        <f>+EDATE(E16,1)</f>
        <v>46354</v>
      </c>
      <c r="F17" s="107">
        <f>MIN(J16,(B17-H17))</f>
        <v>0</v>
      </c>
      <c r="G17" s="39"/>
      <c r="H17" s="39">
        <f>+(J16*$D$9/$D$10*$Z$17)+G16</f>
        <v>0</v>
      </c>
      <c r="I17" s="39">
        <f t="shared" si="0"/>
        <v>0</v>
      </c>
      <c r="J17" s="39">
        <f t="shared" ref="J17:J50" si="6">+J16-F17</f>
        <v>0</v>
      </c>
      <c r="K17" s="66">
        <f t="shared" si="1"/>
        <v>0</v>
      </c>
      <c r="M17" s="54">
        <f>+WORKDAY(E17-1,1,[1]Feriados!$A$2:$A$112)</f>
        <v>46356</v>
      </c>
      <c r="N17" s="38">
        <f t="shared" ref="N17:N50" si="7">+I17</f>
        <v>0</v>
      </c>
      <c r="O17" s="38">
        <f t="shared" si="2"/>
        <v>0</v>
      </c>
      <c r="P17" s="53">
        <f t="shared" si="3"/>
        <v>0</v>
      </c>
      <c r="R17" s="36"/>
      <c r="S17" s="37"/>
      <c r="T17" s="107"/>
      <c r="U17" s="38"/>
      <c r="V17" s="39"/>
      <c r="W17" s="40"/>
      <c r="X17" s="41"/>
      <c r="Z17">
        <v>30</v>
      </c>
      <c r="AA17">
        <f>+AA16+Z17</f>
        <v>225</v>
      </c>
    </row>
    <row r="18" spans="2:27" x14ac:dyDescent="0.25">
      <c r="B18" s="29">
        <f>+VDFA!B24</f>
        <v>307395711</v>
      </c>
      <c r="D18" s="68">
        <f t="shared" si="5"/>
        <v>3</v>
      </c>
      <c r="E18" s="65">
        <f t="shared" ref="E18:E50" si="8">+EDATE(E17,1)</f>
        <v>46384</v>
      </c>
      <c r="F18" s="107">
        <f t="shared" ref="F18:F50" si="9">MIN(J17,(B18-H18))</f>
        <v>0</v>
      </c>
      <c r="G18" s="39"/>
      <c r="H18" s="39">
        <f>+J17*(MAX($F$8,MIN($G$8,$D$7+$D$8)))/$D$10*Z18</f>
        <v>0</v>
      </c>
      <c r="I18" s="39">
        <f t="shared" si="0"/>
        <v>0</v>
      </c>
      <c r="J18" s="39">
        <f t="shared" si="6"/>
        <v>0</v>
      </c>
      <c r="K18" s="66">
        <f t="shared" si="1"/>
        <v>0</v>
      </c>
      <c r="M18" s="54">
        <f>+WORKDAY(E18-1,1,[1]Feriados!$A$2:$A$112)</f>
        <v>46384</v>
      </c>
      <c r="N18" s="38">
        <f t="shared" si="7"/>
        <v>0</v>
      </c>
      <c r="O18" s="38">
        <f t="shared" si="2"/>
        <v>0</v>
      </c>
      <c r="P18" s="53">
        <f t="shared" si="3"/>
        <v>0</v>
      </c>
      <c r="R18" s="36"/>
      <c r="S18" s="37"/>
      <c r="T18" s="107"/>
      <c r="U18" s="38"/>
      <c r="V18" s="39"/>
      <c r="W18" s="40"/>
      <c r="X18" s="41"/>
      <c r="Z18">
        <f>+VDFA!Y23</f>
        <v>0</v>
      </c>
      <c r="AA18">
        <f>+AA17+Z18</f>
        <v>225</v>
      </c>
    </row>
    <row r="19" spans="2:27" x14ac:dyDescent="0.25">
      <c r="B19" s="29">
        <f>+VDFA!B25</f>
        <v>316130665</v>
      </c>
      <c r="D19" s="68">
        <f t="shared" si="5"/>
        <v>4</v>
      </c>
      <c r="E19" s="65">
        <f t="shared" si="8"/>
        <v>46415</v>
      </c>
      <c r="F19" s="107">
        <f t="shared" si="9"/>
        <v>0</v>
      </c>
      <c r="G19" s="39"/>
      <c r="H19" s="39">
        <v>0</v>
      </c>
      <c r="I19" s="39">
        <f t="shared" si="0"/>
        <v>0</v>
      </c>
      <c r="J19" s="39">
        <f t="shared" si="6"/>
        <v>0</v>
      </c>
      <c r="K19" s="66">
        <f t="shared" si="1"/>
        <v>0</v>
      </c>
      <c r="M19" s="54">
        <f>+WORKDAY(E19-1,1,[1]Feriados!$A$2:$A$112)</f>
        <v>46415</v>
      </c>
      <c r="N19" s="38">
        <f t="shared" si="7"/>
        <v>0</v>
      </c>
      <c r="O19" s="38">
        <f t="shared" si="2"/>
        <v>0</v>
      </c>
      <c r="P19" s="53">
        <f t="shared" si="3"/>
        <v>0</v>
      </c>
      <c r="R19" s="36"/>
      <c r="S19" s="37"/>
      <c r="T19" s="107"/>
      <c r="U19" s="38"/>
      <c r="V19" s="39"/>
      <c r="W19" s="40"/>
      <c r="X19" s="41"/>
    </row>
    <row r="20" spans="2:27" x14ac:dyDescent="0.25">
      <c r="B20" s="29">
        <f>+VDFA!B26</f>
        <v>272245790</v>
      </c>
      <c r="D20" s="68">
        <f t="shared" si="5"/>
        <v>5</v>
      </c>
      <c r="E20" s="65">
        <f t="shared" si="8"/>
        <v>46446</v>
      </c>
      <c r="F20" s="107">
        <f t="shared" si="9"/>
        <v>0</v>
      </c>
      <c r="G20" s="39"/>
      <c r="H20" s="39">
        <v>0</v>
      </c>
      <c r="I20" s="39">
        <f t="shared" si="0"/>
        <v>0</v>
      </c>
      <c r="J20" s="39">
        <f t="shared" si="6"/>
        <v>0</v>
      </c>
      <c r="K20" s="66">
        <f t="shared" si="1"/>
        <v>0</v>
      </c>
      <c r="M20" s="54">
        <f>+WORKDAY(E20-1,1,[1]Feriados!$A$2:$A$112)</f>
        <v>46447</v>
      </c>
      <c r="N20" s="38">
        <f t="shared" si="7"/>
        <v>0</v>
      </c>
      <c r="O20" s="38">
        <f t="shared" si="2"/>
        <v>0</v>
      </c>
      <c r="P20" s="53">
        <f t="shared" si="3"/>
        <v>0</v>
      </c>
      <c r="R20" s="36"/>
      <c r="S20" s="37"/>
      <c r="T20" s="107"/>
      <c r="U20" s="38"/>
      <c r="V20" s="39"/>
      <c r="W20" s="40"/>
      <c r="X20" s="41"/>
    </row>
    <row r="21" spans="2:27" x14ac:dyDescent="0.25">
      <c r="B21" s="29">
        <f>+VDFA!B27</f>
        <v>126274695</v>
      </c>
      <c r="D21" s="68">
        <f t="shared" si="5"/>
        <v>6</v>
      </c>
      <c r="E21" s="65">
        <f t="shared" si="8"/>
        <v>46474</v>
      </c>
      <c r="F21" s="107">
        <f t="shared" si="9"/>
        <v>0</v>
      </c>
      <c r="G21" s="39"/>
      <c r="H21" s="39">
        <v>0</v>
      </c>
      <c r="I21" s="39">
        <f t="shared" si="0"/>
        <v>0</v>
      </c>
      <c r="J21" s="39">
        <f t="shared" si="6"/>
        <v>0</v>
      </c>
      <c r="K21" s="66">
        <f t="shared" si="1"/>
        <v>0</v>
      </c>
      <c r="M21" s="54">
        <f>+WORKDAY(E21-1,1,[1]Feriados!$A$2:$A$112)</f>
        <v>46475</v>
      </c>
      <c r="N21" s="38">
        <f t="shared" si="7"/>
        <v>0</v>
      </c>
      <c r="O21" s="38">
        <f t="shared" si="2"/>
        <v>0</v>
      </c>
      <c r="P21" s="53">
        <f t="shared" si="3"/>
        <v>0</v>
      </c>
      <c r="R21" s="36"/>
      <c r="S21" s="37"/>
      <c r="T21" s="107"/>
      <c r="U21" s="38"/>
      <c r="V21" s="39"/>
      <c r="W21" s="40"/>
      <c r="X21" s="41"/>
    </row>
    <row r="22" spans="2:27" x14ac:dyDescent="0.25">
      <c r="B22" s="29">
        <f>+VDFA!B28</f>
        <v>68531487</v>
      </c>
      <c r="D22" s="68">
        <f t="shared" si="5"/>
        <v>7</v>
      </c>
      <c r="E22" s="65">
        <f t="shared" si="8"/>
        <v>46505</v>
      </c>
      <c r="F22" s="107">
        <f t="shared" si="9"/>
        <v>0</v>
      </c>
      <c r="G22" s="39"/>
      <c r="H22" s="39">
        <v>0</v>
      </c>
      <c r="I22" s="39">
        <f t="shared" ref="I22:I32" si="10">+F22+H22</f>
        <v>0</v>
      </c>
      <c r="J22" s="39">
        <f t="shared" si="6"/>
        <v>0</v>
      </c>
      <c r="K22" s="66">
        <f t="shared" si="1"/>
        <v>0</v>
      </c>
      <c r="M22" s="54">
        <f>+WORKDAY(E22-1,1,[1]Feriados!$A$2:$A$112)</f>
        <v>46505</v>
      </c>
      <c r="N22" s="38">
        <f t="shared" si="7"/>
        <v>0</v>
      </c>
      <c r="O22" s="38">
        <f t="shared" si="2"/>
        <v>0</v>
      </c>
      <c r="P22" s="53">
        <f t="shared" si="3"/>
        <v>0</v>
      </c>
      <c r="R22" s="36"/>
      <c r="S22" s="37"/>
      <c r="T22" s="107"/>
      <c r="U22" s="38"/>
      <c r="V22" s="39"/>
      <c r="W22" s="40"/>
      <c r="X22" s="41"/>
    </row>
    <row r="23" spans="2:27" x14ac:dyDescent="0.25">
      <c r="B23" s="29">
        <f>+VDFA!B29</f>
        <v>55074801</v>
      </c>
      <c r="D23" s="68">
        <f t="shared" si="5"/>
        <v>8</v>
      </c>
      <c r="E23" s="65">
        <f t="shared" si="8"/>
        <v>46535</v>
      </c>
      <c r="F23" s="107">
        <f t="shared" si="9"/>
        <v>0</v>
      </c>
      <c r="G23" s="39"/>
      <c r="H23" s="39">
        <v>0</v>
      </c>
      <c r="I23" s="39">
        <f t="shared" si="10"/>
        <v>0</v>
      </c>
      <c r="J23" s="39">
        <f t="shared" si="6"/>
        <v>0</v>
      </c>
      <c r="K23" s="66">
        <f t="shared" si="1"/>
        <v>0</v>
      </c>
      <c r="M23" s="54">
        <f>+WORKDAY(E23-1,1,[1]Feriados!$A$2:$A$112)</f>
        <v>46535</v>
      </c>
      <c r="N23" s="38">
        <f t="shared" si="7"/>
        <v>0</v>
      </c>
      <c r="O23" s="38">
        <f t="shared" si="2"/>
        <v>0</v>
      </c>
      <c r="P23" s="53">
        <f t="shared" si="3"/>
        <v>0</v>
      </c>
      <c r="R23" s="36"/>
      <c r="S23" s="37"/>
      <c r="T23" s="107"/>
      <c r="U23" s="38"/>
      <c r="V23" s="39"/>
      <c r="W23" s="40"/>
      <c r="X23" s="41"/>
    </row>
    <row r="24" spans="2:27" x14ac:dyDescent="0.25">
      <c r="B24" s="29">
        <f>+VDFA!B30</f>
        <v>46837632</v>
      </c>
      <c r="D24" s="68">
        <f t="shared" si="5"/>
        <v>9</v>
      </c>
      <c r="E24" s="65">
        <f t="shared" si="8"/>
        <v>46566</v>
      </c>
      <c r="F24" s="107">
        <f t="shared" si="9"/>
        <v>0</v>
      </c>
      <c r="G24" s="39"/>
      <c r="H24" s="39">
        <v>0</v>
      </c>
      <c r="I24" s="39">
        <f t="shared" si="10"/>
        <v>0</v>
      </c>
      <c r="J24" s="39">
        <f t="shared" si="6"/>
        <v>0</v>
      </c>
      <c r="K24" s="66">
        <f t="shared" si="1"/>
        <v>0</v>
      </c>
      <c r="M24" s="54">
        <f>+WORKDAY(E24-1,1,[1]Feriados!$A$2:$A$112)</f>
        <v>46566</v>
      </c>
      <c r="N24" s="38">
        <f t="shared" si="7"/>
        <v>0</v>
      </c>
      <c r="O24" s="38">
        <f t="shared" si="2"/>
        <v>0</v>
      </c>
      <c r="P24" s="53">
        <f t="shared" si="3"/>
        <v>0</v>
      </c>
      <c r="R24" s="36"/>
      <c r="S24" s="37"/>
      <c r="T24" s="107"/>
      <c r="U24" s="38"/>
      <c r="V24" s="39"/>
      <c r="W24" s="40"/>
      <c r="X24" s="41"/>
    </row>
    <row r="25" spans="2:27" x14ac:dyDescent="0.25">
      <c r="B25" s="29">
        <f>+VDFA!B31</f>
        <v>42027631</v>
      </c>
      <c r="D25" s="68">
        <f t="shared" si="5"/>
        <v>10</v>
      </c>
      <c r="E25" s="65">
        <f t="shared" si="8"/>
        <v>46596</v>
      </c>
      <c r="F25" s="107">
        <f t="shared" si="9"/>
        <v>0</v>
      </c>
      <c r="G25" s="39"/>
      <c r="H25" s="39">
        <v>0</v>
      </c>
      <c r="I25" s="39">
        <f t="shared" si="10"/>
        <v>0</v>
      </c>
      <c r="J25" s="39">
        <f t="shared" si="6"/>
        <v>0</v>
      </c>
      <c r="K25" s="66">
        <f t="shared" si="1"/>
        <v>0</v>
      </c>
      <c r="M25" s="54">
        <f>+WORKDAY(E25-1,1,[1]Feriados!$A$2:$A$112)</f>
        <v>46596</v>
      </c>
      <c r="N25" s="38">
        <f t="shared" si="7"/>
        <v>0</v>
      </c>
      <c r="O25" s="38">
        <f t="shared" si="2"/>
        <v>0</v>
      </c>
      <c r="P25" s="53">
        <f t="shared" si="3"/>
        <v>0</v>
      </c>
      <c r="R25" s="36"/>
      <c r="S25" s="37"/>
      <c r="T25" s="107"/>
      <c r="U25" s="38"/>
      <c r="V25" s="39"/>
      <c r="W25" s="40"/>
      <c r="X25" s="41"/>
    </row>
    <row r="26" spans="2:27" x14ac:dyDescent="0.25">
      <c r="B26" s="29">
        <f>+VDFA!B32</f>
        <v>30265374</v>
      </c>
      <c r="D26" s="68">
        <f t="shared" si="5"/>
        <v>11</v>
      </c>
      <c r="E26" s="65">
        <f t="shared" si="8"/>
        <v>46627</v>
      </c>
      <c r="F26" s="107">
        <f t="shared" si="9"/>
        <v>0</v>
      </c>
      <c r="G26" s="39"/>
      <c r="H26" s="39">
        <f t="shared" ref="H26:H32" si="11">+J24*(MAX($F$8,MIN($G$8,$D$7+$D$8)))/$D$10*$X$17</f>
        <v>0</v>
      </c>
      <c r="I26" s="39">
        <f t="shared" si="10"/>
        <v>0</v>
      </c>
      <c r="J26" s="39">
        <f t="shared" si="6"/>
        <v>0</v>
      </c>
      <c r="K26" s="66">
        <f t="shared" si="1"/>
        <v>0</v>
      </c>
      <c r="M26" s="54">
        <f>+WORKDAY(E26-1,1,[1]Feriados!$A$2:$A$112)</f>
        <v>46629</v>
      </c>
      <c r="N26" s="38">
        <f t="shared" si="7"/>
        <v>0</v>
      </c>
      <c r="O26" s="38">
        <f t="shared" si="2"/>
        <v>0</v>
      </c>
      <c r="P26" s="53">
        <f t="shared" si="3"/>
        <v>0</v>
      </c>
      <c r="R26" s="36"/>
      <c r="S26" s="37"/>
      <c r="T26" s="107"/>
      <c r="U26" s="38"/>
      <c r="V26" s="39"/>
      <c r="W26" s="40"/>
      <c r="X26" s="41"/>
    </row>
    <row r="27" spans="2:27" x14ac:dyDescent="0.25">
      <c r="B27" s="29">
        <f>+VDFA!B33</f>
        <v>13855939</v>
      </c>
      <c r="D27" s="68">
        <f t="shared" si="5"/>
        <v>12</v>
      </c>
      <c r="E27" s="65">
        <f t="shared" si="8"/>
        <v>46658</v>
      </c>
      <c r="F27" s="107">
        <f t="shared" si="9"/>
        <v>0</v>
      </c>
      <c r="G27" s="39"/>
      <c r="H27" s="39">
        <f t="shared" si="11"/>
        <v>0</v>
      </c>
      <c r="I27" s="39">
        <f t="shared" si="10"/>
        <v>0</v>
      </c>
      <c r="J27" s="39">
        <f t="shared" si="6"/>
        <v>0</v>
      </c>
      <c r="K27" s="66">
        <f t="shared" si="1"/>
        <v>0</v>
      </c>
      <c r="M27" s="54">
        <f>+WORKDAY(E27-1,1,[1]Feriados!$A$2:$A$112)</f>
        <v>46658</v>
      </c>
      <c r="N27" s="38">
        <f t="shared" si="7"/>
        <v>0</v>
      </c>
      <c r="O27" s="38">
        <f t="shared" si="2"/>
        <v>0</v>
      </c>
      <c r="P27" s="53">
        <f t="shared" si="3"/>
        <v>0</v>
      </c>
      <c r="R27" s="36"/>
      <c r="S27" s="37"/>
      <c r="T27" s="107"/>
      <c r="U27" s="38"/>
      <c r="V27" s="39"/>
      <c r="W27" s="40"/>
      <c r="X27" s="41"/>
    </row>
    <row r="28" spans="2:27" x14ac:dyDescent="0.25">
      <c r="B28" s="29">
        <f>+VDFA!B34</f>
        <v>7759808</v>
      </c>
      <c r="D28" s="68">
        <f t="shared" si="5"/>
        <v>13</v>
      </c>
      <c r="E28" s="65">
        <f t="shared" si="8"/>
        <v>46688</v>
      </c>
      <c r="F28" s="107">
        <f t="shared" si="9"/>
        <v>0</v>
      </c>
      <c r="G28" s="39"/>
      <c r="H28" s="39">
        <f t="shared" si="11"/>
        <v>0</v>
      </c>
      <c r="I28" s="39">
        <f t="shared" si="10"/>
        <v>0</v>
      </c>
      <c r="J28" s="39">
        <f t="shared" si="6"/>
        <v>0</v>
      </c>
      <c r="K28" s="66">
        <f t="shared" si="1"/>
        <v>0</v>
      </c>
      <c r="M28" s="54">
        <f>+WORKDAY(E28-1,1,[1]Feriados!$A$2:$A$112)</f>
        <v>46688</v>
      </c>
      <c r="N28" s="38">
        <f t="shared" si="7"/>
        <v>0</v>
      </c>
      <c r="O28" s="38">
        <f t="shared" si="2"/>
        <v>0</v>
      </c>
      <c r="P28" s="53">
        <f t="shared" si="3"/>
        <v>0</v>
      </c>
      <c r="R28" s="36"/>
      <c r="S28" s="37"/>
      <c r="T28" s="107"/>
      <c r="U28" s="38"/>
      <c r="V28" s="39"/>
      <c r="W28" s="40"/>
      <c r="X28" s="41"/>
    </row>
    <row r="29" spans="2:27" x14ac:dyDescent="0.25">
      <c r="B29" s="29">
        <f>+VDFA!B35</f>
        <v>4563861</v>
      </c>
      <c r="D29" s="68">
        <f t="shared" si="5"/>
        <v>14</v>
      </c>
      <c r="E29" s="65">
        <f t="shared" si="8"/>
        <v>46719</v>
      </c>
      <c r="F29" s="107">
        <f t="shared" si="9"/>
        <v>0</v>
      </c>
      <c r="G29" s="39"/>
      <c r="H29" s="39">
        <f t="shared" si="11"/>
        <v>0</v>
      </c>
      <c r="I29" s="39">
        <f t="shared" si="10"/>
        <v>0</v>
      </c>
      <c r="J29" s="39">
        <f t="shared" si="6"/>
        <v>0</v>
      </c>
      <c r="K29" s="66">
        <f t="shared" si="1"/>
        <v>0</v>
      </c>
      <c r="M29" s="54">
        <f>+WORKDAY(E29-1,1,[1]Feriados!$A$2:$A$112)</f>
        <v>46720</v>
      </c>
      <c r="N29" s="38">
        <f t="shared" si="7"/>
        <v>0</v>
      </c>
      <c r="O29" s="38">
        <f t="shared" si="2"/>
        <v>0</v>
      </c>
      <c r="P29" s="53">
        <f t="shared" si="3"/>
        <v>0</v>
      </c>
      <c r="R29" s="36"/>
      <c r="S29" s="37"/>
      <c r="T29" s="107"/>
      <c r="U29" s="38"/>
      <c r="V29" s="39"/>
      <c r="W29" s="40"/>
      <c r="X29" s="41"/>
    </row>
    <row r="30" spans="2:27" x14ac:dyDescent="0.25">
      <c r="B30" s="29">
        <f>+VDFA!B36</f>
        <v>7912809</v>
      </c>
      <c r="D30" s="68">
        <f t="shared" si="5"/>
        <v>15</v>
      </c>
      <c r="E30" s="65">
        <f t="shared" si="8"/>
        <v>46749</v>
      </c>
      <c r="F30" s="107">
        <f t="shared" si="9"/>
        <v>0</v>
      </c>
      <c r="G30" s="39"/>
      <c r="H30" s="39">
        <f t="shared" si="11"/>
        <v>0</v>
      </c>
      <c r="I30" s="39">
        <f t="shared" si="10"/>
        <v>0</v>
      </c>
      <c r="J30" s="39">
        <f t="shared" si="6"/>
        <v>0</v>
      </c>
      <c r="K30" s="66">
        <f t="shared" si="1"/>
        <v>0</v>
      </c>
      <c r="M30" s="54">
        <f>+WORKDAY(E30-1,1,[1]Feriados!$A$2:$A$112)</f>
        <v>46749</v>
      </c>
      <c r="N30" s="38">
        <f t="shared" si="7"/>
        <v>0</v>
      </c>
      <c r="O30" s="38">
        <f t="shared" si="2"/>
        <v>0</v>
      </c>
      <c r="P30" s="53">
        <f t="shared" si="3"/>
        <v>0</v>
      </c>
      <c r="R30" s="36"/>
      <c r="S30" s="37"/>
      <c r="T30" s="107"/>
      <c r="U30" s="38"/>
      <c r="V30" s="39"/>
      <c r="W30" s="40"/>
      <c r="X30" s="41"/>
    </row>
    <row r="31" spans="2:27" x14ac:dyDescent="0.25">
      <c r="B31" s="29">
        <f>+VDFA!B37</f>
        <v>6500941</v>
      </c>
      <c r="D31" s="68">
        <f t="shared" si="5"/>
        <v>16</v>
      </c>
      <c r="E31" s="65">
        <f t="shared" si="8"/>
        <v>46780</v>
      </c>
      <c r="F31" s="107">
        <f t="shared" si="9"/>
        <v>0</v>
      </c>
      <c r="G31" s="39"/>
      <c r="H31" s="39">
        <f t="shared" si="11"/>
        <v>0</v>
      </c>
      <c r="I31" s="39">
        <f t="shared" si="10"/>
        <v>0</v>
      </c>
      <c r="J31" s="39">
        <f t="shared" si="6"/>
        <v>0</v>
      </c>
      <c r="K31" s="66">
        <f t="shared" si="1"/>
        <v>0</v>
      </c>
      <c r="M31" s="54">
        <f>+WORKDAY(E31-1,1,[1]Feriados!$A$2:$A$112)</f>
        <v>46780</v>
      </c>
      <c r="N31" s="38">
        <f t="shared" si="7"/>
        <v>0</v>
      </c>
      <c r="O31" s="38">
        <f t="shared" si="2"/>
        <v>0</v>
      </c>
      <c r="P31" s="53">
        <f t="shared" si="3"/>
        <v>0</v>
      </c>
      <c r="R31" s="36"/>
      <c r="S31" s="37"/>
      <c r="T31" s="107"/>
      <c r="U31" s="38"/>
      <c r="V31" s="39"/>
      <c r="W31" s="40"/>
      <c r="X31" s="41"/>
    </row>
    <row r="32" spans="2:27" x14ac:dyDescent="0.25">
      <c r="B32" s="29">
        <f>+VDFA!B38</f>
        <v>2594487</v>
      </c>
      <c r="D32" s="68">
        <f t="shared" si="5"/>
        <v>17</v>
      </c>
      <c r="E32" s="65">
        <f t="shared" si="8"/>
        <v>46811</v>
      </c>
      <c r="F32" s="107">
        <f t="shared" si="9"/>
        <v>0</v>
      </c>
      <c r="G32" s="39"/>
      <c r="H32" s="39">
        <f t="shared" si="11"/>
        <v>0</v>
      </c>
      <c r="I32" s="39">
        <f t="shared" si="10"/>
        <v>0</v>
      </c>
      <c r="J32" s="39">
        <f t="shared" si="6"/>
        <v>0</v>
      </c>
      <c r="K32" s="66">
        <f t="shared" si="1"/>
        <v>0</v>
      </c>
      <c r="M32" s="54">
        <f>+WORKDAY(E32-1,1,[1]Feriados!$A$2:$A$112)</f>
        <v>46811</v>
      </c>
      <c r="N32" s="38">
        <f t="shared" si="7"/>
        <v>0</v>
      </c>
      <c r="O32" s="38">
        <f t="shared" si="2"/>
        <v>0</v>
      </c>
      <c r="P32" s="53">
        <f t="shared" si="3"/>
        <v>0</v>
      </c>
      <c r="R32" s="36"/>
      <c r="S32" s="37"/>
      <c r="T32" s="107"/>
      <c r="U32" s="38"/>
      <c r="V32" s="39"/>
      <c r="W32" s="40"/>
      <c r="X32" s="41"/>
    </row>
    <row r="33" spans="2:24" x14ac:dyDescent="0.25">
      <c r="B33" s="29">
        <f>+VDFA!B39</f>
        <v>393829</v>
      </c>
      <c r="D33" s="68">
        <f t="shared" si="5"/>
        <v>18</v>
      </c>
      <c r="E33" s="65">
        <f t="shared" si="8"/>
        <v>46840</v>
      </c>
      <c r="F33" s="107">
        <f t="shared" si="9"/>
        <v>0</v>
      </c>
      <c r="G33" s="39"/>
      <c r="H33" s="39">
        <v>0</v>
      </c>
      <c r="I33" s="39">
        <v>0</v>
      </c>
      <c r="J33" s="39">
        <f t="shared" si="6"/>
        <v>0</v>
      </c>
      <c r="K33" s="66">
        <f t="shared" si="1"/>
        <v>0</v>
      </c>
      <c r="M33" s="54">
        <f>+WORKDAY(E33-1,1,[1]Feriados!$A$2:$A$112)</f>
        <v>46840</v>
      </c>
      <c r="N33" s="38">
        <f t="shared" si="7"/>
        <v>0</v>
      </c>
      <c r="O33" s="38">
        <f t="shared" si="2"/>
        <v>0</v>
      </c>
      <c r="P33" s="53">
        <f t="shared" si="3"/>
        <v>0</v>
      </c>
      <c r="R33" s="36"/>
      <c r="S33" s="37"/>
      <c r="T33" s="107"/>
      <c r="U33" s="38"/>
      <c r="V33" s="39"/>
      <c r="W33" s="40"/>
      <c r="X33" s="41"/>
    </row>
    <row r="34" spans="2:24" x14ac:dyDescent="0.25">
      <c r="B34" s="29">
        <f>+VDFA!B40</f>
        <v>3010325</v>
      </c>
      <c r="D34" s="68">
        <f t="shared" si="5"/>
        <v>19</v>
      </c>
      <c r="E34" s="65">
        <f t="shared" si="8"/>
        <v>46871</v>
      </c>
      <c r="F34" s="107">
        <f t="shared" si="9"/>
        <v>0</v>
      </c>
      <c r="G34" s="39"/>
      <c r="H34" s="39">
        <f t="shared" ref="H34:H50" si="12">+J32*(MAX($F$8,MIN($G$8,$D$7+$D$8)))/$D$10*$X$17</f>
        <v>0</v>
      </c>
      <c r="I34" s="39">
        <f t="shared" ref="I34:I50" si="13">+F34+H34</f>
        <v>0</v>
      </c>
      <c r="J34" s="39">
        <f t="shared" si="6"/>
        <v>0</v>
      </c>
      <c r="K34" s="66">
        <f t="shared" si="1"/>
        <v>0</v>
      </c>
      <c r="M34" s="54">
        <f>+WORKDAY(E34-1,1,[1]Feriados!$A$2:$A$112)</f>
        <v>46871</v>
      </c>
      <c r="N34" s="38">
        <f t="shared" si="7"/>
        <v>0</v>
      </c>
      <c r="O34" s="38">
        <f t="shared" si="2"/>
        <v>0</v>
      </c>
      <c r="P34" s="53">
        <f t="shared" si="3"/>
        <v>0</v>
      </c>
      <c r="R34" s="36"/>
      <c r="S34" s="37"/>
      <c r="T34" s="107"/>
      <c r="U34" s="38"/>
      <c r="V34" s="39"/>
      <c r="W34" s="40"/>
      <c r="X34" s="41"/>
    </row>
    <row r="35" spans="2:24" x14ac:dyDescent="0.25">
      <c r="B35" s="29">
        <f>+VDFA!B41</f>
        <v>0</v>
      </c>
      <c r="D35" s="68">
        <f t="shared" si="5"/>
        <v>20</v>
      </c>
      <c r="E35" s="65">
        <f t="shared" si="8"/>
        <v>46901</v>
      </c>
      <c r="F35" s="107">
        <f t="shared" si="9"/>
        <v>0</v>
      </c>
      <c r="G35" s="39"/>
      <c r="H35" s="39">
        <f t="shared" si="12"/>
        <v>0</v>
      </c>
      <c r="I35" s="39">
        <f t="shared" si="13"/>
        <v>0</v>
      </c>
      <c r="J35" s="39">
        <f t="shared" si="6"/>
        <v>0</v>
      </c>
      <c r="K35" s="66">
        <f t="shared" si="1"/>
        <v>0</v>
      </c>
      <c r="M35" s="54">
        <f>+WORKDAY(E35-1,1,[1]Feriados!$A$2:$A$112)</f>
        <v>46902</v>
      </c>
      <c r="N35" s="38">
        <f t="shared" si="7"/>
        <v>0</v>
      </c>
      <c r="O35" s="38">
        <f t="shared" si="2"/>
        <v>0</v>
      </c>
      <c r="P35" s="53">
        <f t="shared" si="3"/>
        <v>0</v>
      </c>
      <c r="R35" s="36"/>
      <c r="S35" s="37"/>
      <c r="T35" s="107"/>
      <c r="U35" s="38"/>
      <c r="V35" s="39"/>
      <c r="W35" s="40"/>
      <c r="X35" s="41"/>
    </row>
    <row r="36" spans="2:24" x14ac:dyDescent="0.25">
      <c r="B36" s="29">
        <f>+VDFA!B42</f>
        <v>0</v>
      </c>
      <c r="D36" s="68">
        <f t="shared" si="5"/>
        <v>21</v>
      </c>
      <c r="E36" s="65">
        <f t="shared" si="8"/>
        <v>46932</v>
      </c>
      <c r="F36" s="107">
        <f t="shared" si="9"/>
        <v>0</v>
      </c>
      <c r="G36" s="39"/>
      <c r="H36" s="39">
        <f t="shared" si="12"/>
        <v>0</v>
      </c>
      <c r="I36" s="39">
        <f t="shared" si="13"/>
        <v>0</v>
      </c>
      <c r="J36" s="39">
        <f t="shared" si="6"/>
        <v>0</v>
      </c>
      <c r="K36" s="66">
        <f t="shared" si="1"/>
        <v>0</v>
      </c>
      <c r="M36" s="54">
        <f>+WORKDAY(E36-1,1,[1]Feriados!$A$2:$A$112)</f>
        <v>46932</v>
      </c>
      <c r="N36" s="38">
        <f t="shared" si="7"/>
        <v>0</v>
      </c>
      <c r="O36" s="38">
        <f t="shared" si="2"/>
        <v>0</v>
      </c>
      <c r="P36" s="53">
        <f t="shared" si="3"/>
        <v>0</v>
      </c>
      <c r="R36" s="36"/>
      <c r="S36" s="37"/>
      <c r="T36" s="107"/>
      <c r="U36" s="38"/>
      <c r="V36" s="39"/>
      <c r="W36" s="40"/>
      <c r="X36" s="41"/>
    </row>
    <row r="37" spans="2:24" x14ac:dyDescent="0.25">
      <c r="B37" s="29">
        <f>+VDFA!B43</f>
        <v>0</v>
      </c>
      <c r="D37" s="68">
        <f t="shared" si="5"/>
        <v>22</v>
      </c>
      <c r="E37" s="65">
        <f t="shared" si="8"/>
        <v>46962</v>
      </c>
      <c r="F37" s="107">
        <f t="shared" si="9"/>
        <v>0</v>
      </c>
      <c r="G37" s="39"/>
      <c r="H37" s="39">
        <f t="shared" si="12"/>
        <v>0</v>
      </c>
      <c r="I37" s="39">
        <f t="shared" si="13"/>
        <v>0</v>
      </c>
      <c r="J37" s="39">
        <f t="shared" si="6"/>
        <v>0</v>
      </c>
      <c r="K37" s="66">
        <f t="shared" si="1"/>
        <v>0</v>
      </c>
      <c r="M37" s="54">
        <f>+WORKDAY(E37-1,1,[1]Feriados!$A$2:$A$112)</f>
        <v>46962</v>
      </c>
      <c r="N37" s="38">
        <f t="shared" si="7"/>
        <v>0</v>
      </c>
      <c r="O37" s="38">
        <f t="shared" si="2"/>
        <v>0</v>
      </c>
      <c r="P37" s="53">
        <f t="shared" si="3"/>
        <v>0</v>
      </c>
      <c r="R37" s="36"/>
      <c r="S37" s="37"/>
      <c r="T37" s="107"/>
      <c r="U37" s="38"/>
      <c r="V37" s="39"/>
      <c r="W37" s="40"/>
      <c r="X37" s="41"/>
    </row>
    <row r="38" spans="2:24" x14ac:dyDescent="0.25">
      <c r="B38" s="29">
        <f>+VDFA!B44</f>
        <v>0</v>
      </c>
      <c r="D38" s="68">
        <f t="shared" si="5"/>
        <v>23</v>
      </c>
      <c r="E38" s="65">
        <f t="shared" si="8"/>
        <v>46993</v>
      </c>
      <c r="F38" s="107">
        <f t="shared" si="9"/>
        <v>0</v>
      </c>
      <c r="G38" s="39"/>
      <c r="H38" s="39">
        <f t="shared" si="12"/>
        <v>0</v>
      </c>
      <c r="I38" s="39">
        <f t="shared" si="13"/>
        <v>0</v>
      </c>
      <c r="J38" s="39">
        <f t="shared" si="6"/>
        <v>0</v>
      </c>
      <c r="K38" s="66">
        <f t="shared" si="1"/>
        <v>0</v>
      </c>
      <c r="M38" s="54">
        <f>+WORKDAY(E38-1,1,[1]Feriados!$A$2:$A$112)</f>
        <v>46993</v>
      </c>
      <c r="N38" s="38">
        <f t="shared" si="7"/>
        <v>0</v>
      </c>
      <c r="O38" s="38">
        <f t="shared" si="2"/>
        <v>0</v>
      </c>
      <c r="P38" s="53">
        <f t="shared" si="3"/>
        <v>0</v>
      </c>
      <c r="R38" s="36"/>
      <c r="S38" s="37"/>
      <c r="T38" s="107"/>
      <c r="U38" s="38"/>
      <c r="V38" s="39"/>
      <c r="W38" s="40"/>
      <c r="X38" s="41"/>
    </row>
    <row r="39" spans="2:24" x14ac:dyDescent="0.25">
      <c r="B39" s="29">
        <f>+VDFA!B45</f>
        <v>0</v>
      </c>
      <c r="D39" s="68">
        <f t="shared" si="5"/>
        <v>24</v>
      </c>
      <c r="E39" s="65">
        <f t="shared" si="8"/>
        <v>47024</v>
      </c>
      <c r="F39" s="107">
        <f t="shared" si="9"/>
        <v>0</v>
      </c>
      <c r="G39" s="39"/>
      <c r="H39" s="39">
        <f t="shared" si="12"/>
        <v>0</v>
      </c>
      <c r="I39" s="39">
        <f t="shared" si="13"/>
        <v>0</v>
      </c>
      <c r="J39" s="39">
        <f t="shared" si="6"/>
        <v>0</v>
      </c>
      <c r="K39" s="66">
        <f t="shared" si="1"/>
        <v>0</v>
      </c>
      <c r="M39" s="54">
        <f>+WORKDAY(E39-1,1,[1]Feriados!$A$2:$A$112)</f>
        <v>47024</v>
      </c>
      <c r="N39" s="38">
        <f t="shared" si="7"/>
        <v>0</v>
      </c>
      <c r="O39" s="38">
        <f t="shared" si="2"/>
        <v>0</v>
      </c>
      <c r="P39" s="53">
        <f t="shared" si="3"/>
        <v>0</v>
      </c>
      <c r="R39" s="36"/>
      <c r="S39" s="37"/>
      <c r="T39" s="107"/>
      <c r="U39" s="38"/>
      <c r="V39" s="39"/>
      <c r="W39" s="40"/>
      <c r="X39" s="41"/>
    </row>
    <row r="40" spans="2:24" x14ac:dyDescent="0.25">
      <c r="B40" s="29">
        <f>+VDFA!B46</f>
        <v>0</v>
      </c>
      <c r="D40" s="68">
        <f t="shared" si="5"/>
        <v>25</v>
      </c>
      <c r="E40" s="65">
        <f t="shared" si="8"/>
        <v>47054</v>
      </c>
      <c r="F40" s="107">
        <f t="shared" si="9"/>
        <v>0</v>
      </c>
      <c r="G40" s="39"/>
      <c r="H40" s="39">
        <f t="shared" si="12"/>
        <v>0</v>
      </c>
      <c r="I40" s="39">
        <f t="shared" si="13"/>
        <v>0</v>
      </c>
      <c r="J40" s="39">
        <f t="shared" si="6"/>
        <v>0</v>
      </c>
      <c r="K40" s="66">
        <f t="shared" si="1"/>
        <v>0</v>
      </c>
      <c r="M40" s="54">
        <f>+WORKDAY(E40-1,1,[1]Feriados!$A$2:$A$112)</f>
        <v>47056</v>
      </c>
      <c r="N40" s="38">
        <f t="shared" si="7"/>
        <v>0</v>
      </c>
      <c r="O40" s="38">
        <f t="shared" si="2"/>
        <v>0</v>
      </c>
      <c r="P40" s="53">
        <f t="shared" si="3"/>
        <v>0</v>
      </c>
      <c r="R40" s="36"/>
      <c r="S40" s="37"/>
      <c r="T40" s="107"/>
      <c r="U40" s="38"/>
      <c r="V40" s="39"/>
      <c r="W40" s="40"/>
      <c r="X40" s="41"/>
    </row>
    <row r="41" spans="2:24" x14ac:dyDescent="0.25">
      <c r="B41" s="29">
        <f>+VDFA!B47</f>
        <v>0</v>
      </c>
      <c r="D41" s="68">
        <f t="shared" si="5"/>
        <v>26</v>
      </c>
      <c r="E41" s="65">
        <f t="shared" si="8"/>
        <v>47085</v>
      </c>
      <c r="F41" s="107">
        <f t="shared" si="9"/>
        <v>0</v>
      </c>
      <c r="G41" s="39"/>
      <c r="H41" s="39">
        <f t="shared" si="12"/>
        <v>0</v>
      </c>
      <c r="I41" s="39">
        <f t="shared" si="13"/>
        <v>0</v>
      </c>
      <c r="J41" s="39">
        <f t="shared" si="6"/>
        <v>0</v>
      </c>
      <c r="K41" s="66">
        <f t="shared" si="1"/>
        <v>0</v>
      </c>
      <c r="M41" s="54">
        <f>+WORKDAY(E41-1,1,[1]Feriados!$A$2:$A$112)</f>
        <v>47085</v>
      </c>
      <c r="N41" s="38">
        <f t="shared" si="7"/>
        <v>0</v>
      </c>
      <c r="O41" s="38">
        <f t="shared" si="2"/>
        <v>0</v>
      </c>
      <c r="P41" s="53">
        <f t="shared" si="3"/>
        <v>0</v>
      </c>
      <c r="R41" s="36"/>
      <c r="S41" s="37"/>
      <c r="T41" s="107"/>
      <c r="U41" s="38"/>
      <c r="V41" s="39"/>
      <c r="W41" s="40"/>
      <c r="X41" s="41"/>
    </row>
    <row r="42" spans="2:24" x14ac:dyDescent="0.25">
      <c r="B42" s="29">
        <f>+VDFA!B48</f>
        <v>0</v>
      </c>
      <c r="D42" s="68">
        <f t="shared" si="5"/>
        <v>27</v>
      </c>
      <c r="E42" s="65">
        <f t="shared" si="8"/>
        <v>47115</v>
      </c>
      <c r="F42" s="107">
        <f t="shared" si="9"/>
        <v>0</v>
      </c>
      <c r="G42" s="39"/>
      <c r="H42" s="39">
        <f t="shared" si="12"/>
        <v>0</v>
      </c>
      <c r="I42" s="39">
        <f t="shared" si="13"/>
        <v>0</v>
      </c>
      <c r="J42" s="39">
        <f t="shared" si="6"/>
        <v>0</v>
      </c>
      <c r="K42" s="66">
        <f t="shared" si="1"/>
        <v>0</v>
      </c>
      <c r="M42" s="54">
        <f>+WORKDAY(E42-1,1,[1]Feriados!$A$2:$A$112)</f>
        <v>47115</v>
      </c>
      <c r="N42" s="38">
        <f t="shared" si="7"/>
        <v>0</v>
      </c>
      <c r="O42" s="38">
        <f t="shared" si="2"/>
        <v>0</v>
      </c>
      <c r="P42" s="53">
        <f t="shared" si="3"/>
        <v>0</v>
      </c>
      <c r="R42" s="43"/>
      <c r="S42" s="44"/>
      <c r="T42" s="45">
        <f>SUM(T16:T41)</f>
        <v>73215550</v>
      </c>
      <c r="U42" s="45">
        <f>SUM(U16:U41)</f>
        <v>10311189.958333334</v>
      </c>
      <c r="V42" s="45">
        <f>SUM(V16:V41)</f>
        <v>83526739.958333328</v>
      </c>
      <c r="W42" s="46"/>
      <c r="X42" s="47">
        <f>+SUM(X16:X25)</f>
        <v>1</v>
      </c>
    </row>
    <row r="43" spans="2:24" x14ac:dyDescent="0.25">
      <c r="B43" s="29">
        <f>+VDFA!B49</f>
        <v>0</v>
      </c>
      <c r="D43" s="68">
        <f t="shared" si="5"/>
        <v>28</v>
      </c>
      <c r="E43" s="65">
        <f t="shared" si="8"/>
        <v>47146</v>
      </c>
      <c r="F43" s="107">
        <f t="shared" si="9"/>
        <v>0</v>
      </c>
      <c r="G43" s="39"/>
      <c r="H43" s="39">
        <f t="shared" si="12"/>
        <v>0</v>
      </c>
      <c r="I43" s="39">
        <f t="shared" si="13"/>
        <v>0</v>
      </c>
      <c r="J43" s="39">
        <f t="shared" si="6"/>
        <v>0</v>
      </c>
      <c r="K43" s="66">
        <f t="shared" si="1"/>
        <v>0</v>
      </c>
      <c r="M43" s="54">
        <f>+WORKDAY(E43-1,1,[1]Feriados!$A$2:$A$112)</f>
        <v>47147</v>
      </c>
      <c r="N43" s="38">
        <f t="shared" si="7"/>
        <v>0</v>
      </c>
      <c r="O43" s="38">
        <f t="shared" si="2"/>
        <v>0</v>
      </c>
      <c r="P43" s="53">
        <f t="shared" si="3"/>
        <v>0</v>
      </c>
    </row>
    <row r="44" spans="2:24" x14ac:dyDescent="0.25">
      <c r="B44" s="29">
        <f>+VDFA!B50</f>
        <v>0</v>
      </c>
      <c r="D44" s="68">
        <f t="shared" si="5"/>
        <v>29</v>
      </c>
      <c r="E44" s="65">
        <f t="shared" si="8"/>
        <v>47177</v>
      </c>
      <c r="F44" s="107">
        <f t="shared" si="9"/>
        <v>0</v>
      </c>
      <c r="G44" s="39"/>
      <c r="H44" s="39">
        <f t="shared" si="12"/>
        <v>0</v>
      </c>
      <c r="I44" s="39">
        <f t="shared" si="13"/>
        <v>0</v>
      </c>
      <c r="J44" s="39">
        <f t="shared" si="6"/>
        <v>0</v>
      </c>
      <c r="K44" s="66">
        <f t="shared" si="1"/>
        <v>0</v>
      </c>
      <c r="M44" s="54">
        <f>+WORKDAY(E44-1,1,[1]Feriados!$A$2:$A$112)</f>
        <v>47177</v>
      </c>
      <c r="N44" s="38">
        <f t="shared" si="7"/>
        <v>0</v>
      </c>
      <c r="O44" s="38">
        <f t="shared" si="2"/>
        <v>0</v>
      </c>
      <c r="P44" s="53">
        <f t="shared" si="3"/>
        <v>0</v>
      </c>
    </row>
    <row r="45" spans="2:24" x14ac:dyDescent="0.25">
      <c r="B45" s="29">
        <v>0</v>
      </c>
      <c r="D45" s="68">
        <f t="shared" si="5"/>
        <v>30</v>
      </c>
      <c r="E45" s="65">
        <f t="shared" si="8"/>
        <v>47205</v>
      </c>
      <c r="F45" s="107">
        <f t="shared" si="9"/>
        <v>0</v>
      </c>
      <c r="G45" s="39"/>
      <c r="H45" s="39">
        <f t="shared" si="12"/>
        <v>0</v>
      </c>
      <c r="I45" s="39">
        <f t="shared" si="13"/>
        <v>0</v>
      </c>
      <c r="J45" s="39">
        <f t="shared" si="6"/>
        <v>0</v>
      </c>
      <c r="K45" s="66">
        <f t="shared" si="1"/>
        <v>0</v>
      </c>
      <c r="M45" s="54">
        <f>+WORKDAY(E45-1,1,[1]Feriados!$A$2:$A$112)</f>
        <v>47205</v>
      </c>
      <c r="N45" s="38">
        <f t="shared" si="7"/>
        <v>0</v>
      </c>
      <c r="O45" s="38">
        <f t="shared" si="2"/>
        <v>0</v>
      </c>
      <c r="P45" s="53">
        <f t="shared" si="3"/>
        <v>0</v>
      </c>
    </row>
    <row r="46" spans="2:24" x14ac:dyDescent="0.25">
      <c r="B46" s="29">
        <f>+VDFA!B52</f>
        <v>0</v>
      </c>
      <c r="D46" s="68">
        <f t="shared" si="5"/>
        <v>31</v>
      </c>
      <c r="E46" s="65">
        <f t="shared" si="8"/>
        <v>47236</v>
      </c>
      <c r="F46" s="107">
        <f t="shared" si="9"/>
        <v>0</v>
      </c>
      <c r="G46" s="39"/>
      <c r="H46" s="39">
        <f t="shared" si="12"/>
        <v>0</v>
      </c>
      <c r="I46" s="39">
        <f t="shared" si="13"/>
        <v>0</v>
      </c>
      <c r="J46" s="39">
        <f t="shared" si="6"/>
        <v>0</v>
      </c>
      <c r="K46" s="66">
        <f t="shared" si="1"/>
        <v>0</v>
      </c>
      <c r="M46" s="54">
        <f>+WORKDAY(E46-1,1,[1]Feriados!$A$2:$A$112)</f>
        <v>47238</v>
      </c>
      <c r="N46" s="38">
        <f t="shared" si="7"/>
        <v>0</v>
      </c>
      <c r="O46" s="38">
        <f t="shared" si="2"/>
        <v>0</v>
      </c>
      <c r="P46" s="53">
        <f t="shared" si="3"/>
        <v>0</v>
      </c>
    </row>
    <row r="47" spans="2:24" x14ac:dyDescent="0.25">
      <c r="B47" s="29">
        <f>+VDFA!B53</f>
        <v>0</v>
      </c>
      <c r="D47" s="68">
        <f t="shared" si="5"/>
        <v>32</v>
      </c>
      <c r="E47" s="65">
        <f t="shared" si="8"/>
        <v>47266</v>
      </c>
      <c r="F47" s="107">
        <f t="shared" si="9"/>
        <v>0</v>
      </c>
      <c r="G47" s="39"/>
      <c r="H47" s="39">
        <f t="shared" si="12"/>
        <v>0</v>
      </c>
      <c r="I47" s="39">
        <f t="shared" si="13"/>
        <v>0</v>
      </c>
      <c r="J47" s="39">
        <f t="shared" si="6"/>
        <v>0</v>
      </c>
      <c r="K47" s="66">
        <f t="shared" si="1"/>
        <v>0</v>
      </c>
      <c r="M47" s="54">
        <f>+WORKDAY(E47-1,1,[1]Feriados!$A$2:$A$112)</f>
        <v>47266</v>
      </c>
      <c r="N47" s="38">
        <f t="shared" si="7"/>
        <v>0</v>
      </c>
      <c r="O47" s="38">
        <f t="shared" si="2"/>
        <v>0</v>
      </c>
      <c r="P47" s="53">
        <f t="shared" si="3"/>
        <v>0</v>
      </c>
    </row>
    <row r="48" spans="2:24" x14ac:dyDescent="0.25">
      <c r="B48" s="29">
        <f>+VDFA!B54</f>
        <v>0</v>
      </c>
      <c r="D48" s="68">
        <f t="shared" si="5"/>
        <v>33</v>
      </c>
      <c r="E48" s="65">
        <f t="shared" si="8"/>
        <v>47297</v>
      </c>
      <c r="F48" s="107">
        <f t="shared" si="9"/>
        <v>0</v>
      </c>
      <c r="G48" s="39"/>
      <c r="H48" s="39">
        <f t="shared" si="12"/>
        <v>0</v>
      </c>
      <c r="I48" s="39">
        <f t="shared" si="13"/>
        <v>0</v>
      </c>
      <c r="J48" s="39">
        <f t="shared" si="6"/>
        <v>0</v>
      </c>
      <c r="K48" s="66">
        <f t="shared" si="1"/>
        <v>0</v>
      </c>
      <c r="M48" s="54">
        <f>+WORKDAY(E48-1,1,[1]Feriados!$A$2:$A$112)</f>
        <v>47297</v>
      </c>
      <c r="N48" s="38">
        <f t="shared" si="7"/>
        <v>0</v>
      </c>
      <c r="O48" s="38">
        <f t="shared" si="2"/>
        <v>0</v>
      </c>
      <c r="P48" s="53">
        <f t="shared" si="3"/>
        <v>0</v>
      </c>
    </row>
    <row r="49" spans="2:16" x14ac:dyDescent="0.25">
      <c r="B49" s="29">
        <f>+VDFA!B55</f>
        <v>0</v>
      </c>
      <c r="D49" s="68">
        <f t="shared" si="5"/>
        <v>34</v>
      </c>
      <c r="E49" s="65">
        <f t="shared" si="8"/>
        <v>47327</v>
      </c>
      <c r="F49" s="107">
        <f t="shared" si="9"/>
        <v>0</v>
      </c>
      <c r="G49" s="39"/>
      <c r="H49" s="39">
        <f t="shared" si="12"/>
        <v>0</v>
      </c>
      <c r="I49" s="39">
        <f t="shared" si="13"/>
        <v>0</v>
      </c>
      <c r="J49" s="39">
        <f t="shared" si="6"/>
        <v>0</v>
      </c>
      <c r="K49" s="66">
        <f t="shared" si="1"/>
        <v>0</v>
      </c>
      <c r="M49" s="54">
        <f>+WORKDAY(E49-1,1,[1]Feriados!$A$2:$A$112)</f>
        <v>47329</v>
      </c>
      <c r="N49" s="38">
        <f t="shared" si="7"/>
        <v>0</v>
      </c>
      <c r="O49" s="38">
        <f t="shared" si="2"/>
        <v>0</v>
      </c>
      <c r="P49" s="53">
        <f t="shared" si="3"/>
        <v>0</v>
      </c>
    </row>
    <row r="50" spans="2:16" x14ac:dyDescent="0.25">
      <c r="B50" s="29">
        <f>+VDFA!B56</f>
        <v>0</v>
      </c>
      <c r="D50" s="68">
        <f t="shared" si="5"/>
        <v>35</v>
      </c>
      <c r="E50" s="65">
        <f t="shared" si="8"/>
        <v>47358</v>
      </c>
      <c r="F50" s="107">
        <f t="shared" si="9"/>
        <v>0</v>
      </c>
      <c r="G50" s="39"/>
      <c r="H50" s="39">
        <f t="shared" si="12"/>
        <v>0</v>
      </c>
      <c r="I50" s="39">
        <f t="shared" si="13"/>
        <v>0</v>
      </c>
      <c r="J50" s="39">
        <f t="shared" si="6"/>
        <v>0</v>
      </c>
      <c r="K50" s="66">
        <f t="shared" si="1"/>
        <v>0</v>
      </c>
      <c r="M50" s="54">
        <f>+WORKDAY(E50-1,1,[1]Feriados!$A$2:$A$112)</f>
        <v>47358</v>
      </c>
      <c r="N50" s="38">
        <f t="shared" si="7"/>
        <v>0</v>
      </c>
      <c r="O50" s="38">
        <f t="shared" si="2"/>
        <v>0</v>
      </c>
      <c r="P50" s="53">
        <f t="shared" si="3"/>
        <v>0</v>
      </c>
    </row>
    <row r="51" spans="2:16" x14ac:dyDescent="0.25">
      <c r="D51" s="43"/>
      <c r="E51" s="69"/>
      <c r="F51" s="45">
        <f>SUM(F16:F50)</f>
        <v>73215550</v>
      </c>
      <c r="G51" s="45"/>
      <c r="H51" s="45">
        <f>SUM(H16:H50)</f>
        <v>10513295.3828125</v>
      </c>
      <c r="I51" s="45">
        <f>SUM(I16:I50)</f>
        <v>83728845.3828125</v>
      </c>
      <c r="J51" s="45"/>
      <c r="K51" s="70">
        <f>SUM(K16:K50)</f>
        <v>1</v>
      </c>
      <c r="M51" s="55"/>
      <c r="N51" s="56"/>
      <c r="O51" s="57">
        <f>+SUM(O16:O50)</f>
        <v>72375573.334815413</v>
      </c>
      <c r="P51" s="57">
        <f>SUM(P16:P50)</f>
        <v>38399262.519304842</v>
      </c>
    </row>
    <row r="52" spans="2:16" x14ac:dyDescent="0.25">
      <c r="M52" s="58" t="s">
        <v>40</v>
      </c>
      <c r="N52" s="59"/>
      <c r="O52" s="60">
        <f>+P51/O51</f>
        <v>0.53055555555555556</v>
      </c>
    </row>
    <row r="53" spans="2:16" x14ac:dyDescent="0.25">
      <c r="M53" s="58" t="s">
        <v>41</v>
      </c>
      <c r="N53" s="59"/>
      <c r="O53" s="61">
        <f>+XIRR(N14:N50,M14:M50)</f>
        <v>0.31606402993202221</v>
      </c>
    </row>
    <row r="57" spans="2:16" x14ac:dyDescent="0.25">
      <c r="D57" s="123" t="s">
        <v>55</v>
      </c>
      <c r="E57" s="123"/>
      <c r="F57" s="123" t="s">
        <v>54</v>
      </c>
      <c r="G57" s="123"/>
    </row>
    <row r="58" spans="2:16" x14ac:dyDescent="0.25">
      <c r="D58" s="62">
        <f>+S15</f>
        <v>46132</v>
      </c>
      <c r="E58" s="75">
        <v>0</v>
      </c>
      <c r="F58" s="62">
        <f>+E15</f>
        <v>46132</v>
      </c>
      <c r="G58" s="75">
        <f>+-D6*Calculadora!I31</f>
        <v>-72520185.892687365</v>
      </c>
    </row>
    <row r="59" spans="2:16" x14ac:dyDescent="0.25">
      <c r="D59" s="62">
        <f>+VDFA!E64</f>
        <v>46323</v>
      </c>
      <c r="E59" s="75">
        <f>+N16</f>
        <v>83728845.3828125</v>
      </c>
      <c r="F59" s="62">
        <f>+E16</f>
        <v>46323</v>
      </c>
      <c r="G59" s="75">
        <f>+V16</f>
        <v>83526739.958333328</v>
      </c>
    </row>
    <row r="60" spans="2:16" x14ac:dyDescent="0.25">
      <c r="D60" s="62">
        <f>+VDFA!E65</f>
        <v>46354</v>
      </c>
      <c r="E60" s="75">
        <v>0</v>
      </c>
      <c r="F60" s="62">
        <f t="shared" ref="F60" si="14">+E17</f>
        <v>46354</v>
      </c>
      <c r="G60" s="75">
        <f t="shared" ref="G60" si="15">+V17</f>
        <v>0</v>
      </c>
    </row>
    <row r="61" spans="2:16" x14ac:dyDescent="0.25">
      <c r="D61" s="62"/>
      <c r="E61" s="75"/>
      <c r="F61" s="62"/>
      <c r="G61" s="75"/>
    </row>
    <row r="62" spans="2:16" x14ac:dyDescent="0.25">
      <c r="D62" s="62"/>
      <c r="E62" s="75"/>
    </row>
    <row r="63" spans="2:16" x14ac:dyDescent="0.25">
      <c r="D63" s="62"/>
      <c r="E63" s="75"/>
    </row>
    <row r="64" spans="2:16" x14ac:dyDescent="0.25">
      <c r="D64" s="62"/>
      <c r="E64" s="75"/>
    </row>
    <row r="67" spans="4:5" x14ac:dyDescent="0.25">
      <c r="D67" s="62"/>
    </row>
    <row r="68" spans="4:5" x14ac:dyDescent="0.25">
      <c r="D68" s="62"/>
    </row>
    <row r="69" spans="4:5" x14ac:dyDescent="0.25">
      <c r="D69" s="62"/>
      <c r="E69" s="75"/>
    </row>
    <row r="70" spans="4:5" x14ac:dyDescent="0.25">
      <c r="D70" s="62"/>
      <c r="E70" s="75"/>
    </row>
    <row r="71" spans="4:5" x14ac:dyDescent="0.25">
      <c r="D71" s="62"/>
      <c r="E71" s="75"/>
    </row>
  </sheetData>
  <sheetProtection algorithmName="SHA-512" hashValue="63a3jDGdriLHoOjA8XR3zjMpzABdejBvaVhZwYGQsQVBgaMhUVNUjjX76Q1tevLavSpV0eoFGJZ1t76fIlvyzA==" saltValue="C+qaq+uUmQFMOgs9a3r4gw==" spinCount="100000" sheet="1" objects="1" scenarios="1"/>
  <mergeCells count="13">
    <mergeCell ref="R13:X13"/>
    <mergeCell ref="J6:K6"/>
    <mergeCell ref="J7:K7"/>
    <mergeCell ref="J8:K8"/>
    <mergeCell ref="J9:K9"/>
    <mergeCell ref="J10:K10"/>
    <mergeCell ref="J11:K11"/>
    <mergeCell ref="D13:K13"/>
    <mergeCell ref="D57:E57"/>
    <mergeCell ref="F57:G57"/>
    <mergeCell ref="B6:C6"/>
    <mergeCell ref="F6:G6"/>
    <mergeCell ref="M13:P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3B3B-59E7-42DB-A642-AEA4ABD5D93C}">
  <dimension ref="B5:Z75"/>
  <sheetViews>
    <sheetView showGridLines="0" topLeftCell="B1" zoomScale="80" zoomScaleNormal="80" workbookViewId="0">
      <selection activeCell="G17" sqref="G17"/>
    </sheetView>
  </sheetViews>
  <sheetFormatPr baseColWidth="10" defaultRowHeight="15" x14ac:dyDescent="0.25"/>
  <cols>
    <col min="2" max="2" width="14.140625" bestFit="1" customWidth="1"/>
    <col min="4" max="4" width="13.85546875" bestFit="1" customWidth="1"/>
    <col min="6" max="6" width="12.5703125" bestFit="1" customWidth="1"/>
    <col min="7" max="7" width="12.28515625" bestFit="1" customWidth="1"/>
    <col min="8" max="8" width="12.5703125" bestFit="1" customWidth="1"/>
    <col min="9" max="9" width="12.5703125" customWidth="1"/>
    <col min="11" max="12" width="11.7109375" bestFit="1" customWidth="1"/>
    <col min="14" max="14" width="28" bestFit="1" customWidth="1"/>
    <col min="15" max="15" width="13.140625" bestFit="1" customWidth="1"/>
    <col min="16" max="16" width="12.5703125" bestFit="1" customWidth="1"/>
    <col min="17" max="17" width="11.7109375" bestFit="1" customWidth="1"/>
    <col min="20" max="20" width="12.42578125" bestFit="1" customWidth="1"/>
  </cols>
  <sheetData>
    <row r="5" spans="2:26" ht="15.75" thickBot="1" x14ac:dyDescent="0.3"/>
    <row r="6" spans="2:26" x14ac:dyDescent="0.25">
      <c r="B6" s="188" t="s">
        <v>19</v>
      </c>
      <c r="C6" s="189"/>
      <c r="D6" s="106">
        <f>+Calculadora!L12</f>
        <v>29286220</v>
      </c>
      <c r="F6" s="190" t="s">
        <v>22</v>
      </c>
      <c r="G6" s="191"/>
      <c r="J6" s="182" t="s">
        <v>54</v>
      </c>
      <c r="K6" s="183"/>
      <c r="L6" s="95"/>
      <c r="M6" s="103">
        <f>+Calculadora!L18</f>
        <v>0.31</v>
      </c>
    </row>
    <row r="7" spans="2:26" x14ac:dyDescent="0.25">
      <c r="B7" s="15" t="s">
        <v>20</v>
      </c>
      <c r="C7" s="16"/>
      <c r="D7" s="17">
        <f>+Calculadora!L24</f>
        <v>0.22875000000000001</v>
      </c>
      <c r="F7" s="24" t="s">
        <v>25</v>
      </c>
      <c r="G7" s="25" t="s">
        <v>26</v>
      </c>
      <c r="J7" s="184" t="s">
        <v>55</v>
      </c>
      <c r="K7" s="185"/>
      <c r="L7" s="16"/>
      <c r="M7" s="90">
        <f>+XNPV(M6,W15:W16,T15:T16)/D6</f>
        <v>0.99520541337060264</v>
      </c>
    </row>
    <row r="8" spans="2:26" x14ac:dyDescent="0.25">
      <c r="B8" s="15" t="s">
        <v>21</v>
      </c>
      <c r="C8" s="16"/>
      <c r="D8" s="18">
        <v>0.03</v>
      </c>
      <c r="F8" s="26">
        <f>+Calculadora!L16</f>
        <v>0.27</v>
      </c>
      <c r="G8" s="27">
        <f>+Calculadora!L17</f>
        <v>0.52</v>
      </c>
      <c r="J8" s="184" t="s">
        <v>6</v>
      </c>
      <c r="K8" s="185"/>
      <c r="L8" s="16"/>
      <c r="M8" s="90">
        <f>+XIRR(O14:O21,N14:N21)</f>
        <v>0.31603532433509818</v>
      </c>
    </row>
    <row r="9" spans="2:26" x14ac:dyDescent="0.25">
      <c r="B9" s="15" t="s">
        <v>22</v>
      </c>
      <c r="C9" s="16"/>
      <c r="D9" s="19">
        <f>+IF(D7+D8&lt;F8,F8,IF(D7+D8&gt;G8,G8,D7+D8))</f>
        <v>0.27</v>
      </c>
      <c r="J9" s="184" t="s">
        <v>7</v>
      </c>
      <c r="K9" s="185"/>
      <c r="L9" s="94"/>
      <c r="M9" s="104">
        <f>((1+M8)^(30/360)-1)*360/30</f>
        <v>0.2777902077446468</v>
      </c>
      <c r="P9" s="119">
        <f>+E16-E15</f>
        <v>191</v>
      </c>
    </row>
    <row r="10" spans="2:26" x14ac:dyDescent="0.25">
      <c r="B10" s="15" t="s">
        <v>23</v>
      </c>
      <c r="C10" s="16"/>
      <c r="D10" s="20">
        <v>360</v>
      </c>
      <c r="J10" s="184" t="s">
        <v>60</v>
      </c>
      <c r="K10" s="185"/>
      <c r="M10" s="104">
        <f>+M9-D7</f>
        <v>4.9040207744646791E-2</v>
      </c>
    </row>
    <row r="11" spans="2:26" ht="15.75" thickBot="1" x14ac:dyDescent="0.3">
      <c r="B11" s="21" t="s">
        <v>24</v>
      </c>
      <c r="C11" s="22"/>
      <c r="D11" s="23">
        <f>+Calculadora!E13</f>
        <v>46132</v>
      </c>
      <c r="F11" t="s">
        <v>67</v>
      </c>
      <c r="G11" s="117">
        <f>+VDFB!G11+D8-2%</f>
        <v>0.29208333333333336</v>
      </c>
      <c r="J11" s="186" t="s">
        <v>8</v>
      </c>
      <c r="K11" s="187"/>
      <c r="L11" s="1"/>
      <c r="M11" s="105">
        <f>+Q52*12</f>
        <v>6.3666666666666671</v>
      </c>
    </row>
    <row r="12" spans="2:26" x14ac:dyDescent="0.25">
      <c r="G12" s="120"/>
    </row>
    <row r="13" spans="2:26" x14ac:dyDescent="0.25">
      <c r="D13" s="193" t="s">
        <v>73</v>
      </c>
      <c r="E13" s="194"/>
      <c r="F13" s="194"/>
      <c r="G13" s="194"/>
      <c r="H13" s="194"/>
      <c r="I13" s="194"/>
      <c r="J13" s="194"/>
      <c r="K13" s="194"/>
      <c r="L13" s="194"/>
      <c r="N13" s="179" t="s">
        <v>37</v>
      </c>
      <c r="O13" s="180"/>
      <c r="P13" s="180"/>
      <c r="Q13" s="181"/>
      <c r="S13" s="179" t="s">
        <v>62</v>
      </c>
      <c r="T13" s="180"/>
      <c r="U13" s="180"/>
      <c r="V13" s="180"/>
      <c r="W13" s="180"/>
      <c r="X13" s="180"/>
      <c r="Y13" s="181"/>
    </row>
    <row r="14" spans="2:26" ht="27" x14ac:dyDescent="0.25">
      <c r="B14" s="28" t="s">
        <v>27</v>
      </c>
      <c r="D14" s="31" t="s">
        <v>29</v>
      </c>
      <c r="E14" s="32" t="s">
        <v>30</v>
      </c>
      <c r="F14" s="33" t="s">
        <v>31</v>
      </c>
      <c r="G14" s="33" t="s">
        <v>32</v>
      </c>
      <c r="H14" s="32" t="s">
        <v>33</v>
      </c>
      <c r="I14" s="33" t="s">
        <v>34</v>
      </c>
      <c r="J14" s="63" t="s">
        <v>35</v>
      </c>
      <c r="K14" s="64" t="s">
        <v>44</v>
      </c>
      <c r="L14" s="64" t="s">
        <v>45</v>
      </c>
      <c r="N14" s="50">
        <f>+Calculadora!E13</f>
        <v>46132</v>
      </c>
      <c r="O14" s="51">
        <f>-D6*M7</f>
        <v>-29145804.681162409</v>
      </c>
      <c r="P14" s="51" t="s">
        <v>38</v>
      </c>
      <c r="Q14" s="52" t="s">
        <v>39</v>
      </c>
      <c r="S14" s="31" t="s">
        <v>29</v>
      </c>
      <c r="T14" s="80">
        <f>+T15</f>
        <v>46132</v>
      </c>
      <c r="U14" s="33" t="s">
        <v>31</v>
      </c>
      <c r="V14" s="33" t="s">
        <v>32</v>
      </c>
      <c r="W14" s="32" t="s">
        <v>33</v>
      </c>
      <c r="X14" s="34" t="s">
        <v>34</v>
      </c>
      <c r="Y14" s="35" t="s">
        <v>35</v>
      </c>
    </row>
    <row r="15" spans="2:26" x14ac:dyDescent="0.25">
      <c r="B15" s="29"/>
      <c r="D15" s="36"/>
      <c r="E15" s="65">
        <f>+D11</f>
        <v>46132</v>
      </c>
      <c r="F15" s="107"/>
      <c r="G15" s="39"/>
      <c r="H15" s="39">
        <v>0</v>
      </c>
      <c r="I15" s="39">
        <f>+D6</f>
        <v>29286220</v>
      </c>
      <c r="J15" s="66"/>
      <c r="K15" s="67"/>
      <c r="L15" s="67"/>
      <c r="N15" s="37"/>
      <c r="O15" s="38"/>
      <c r="P15" s="38"/>
      <c r="Q15" s="53"/>
      <c r="S15" s="36"/>
      <c r="T15" s="37">
        <f>+E15</f>
        <v>46132</v>
      </c>
      <c r="U15" s="107"/>
      <c r="V15" s="38">
        <v>0</v>
      </c>
      <c r="W15" s="39">
        <v>0</v>
      </c>
      <c r="X15" s="40">
        <f>+D6</f>
        <v>29286220</v>
      </c>
      <c r="Y15" s="41"/>
    </row>
    <row r="16" spans="2:26" x14ac:dyDescent="0.25">
      <c r="B16" s="29">
        <f>+VDFB!B16-VDFB!I16</f>
        <v>154530283.85019693</v>
      </c>
      <c r="D16" s="36">
        <v>1</v>
      </c>
      <c r="E16" s="65">
        <f>+VDFB!E16</f>
        <v>46323</v>
      </c>
      <c r="F16" s="107">
        <f>MIN(I15,(B16-G16))</f>
        <v>29286220</v>
      </c>
      <c r="G16" s="39">
        <f>MIN((I15*G11/D10*45)+(I15*D9/D10*(Z16-45)),B16)</f>
        <v>4363951.8447916666</v>
      </c>
      <c r="H16" s="39">
        <f>+G16+F16</f>
        <v>33650171.844791666</v>
      </c>
      <c r="I16" s="39">
        <f>+I15-F16</f>
        <v>0</v>
      </c>
      <c r="J16" s="66">
        <f>+F16/$D$6</f>
        <v>1</v>
      </c>
      <c r="K16" s="67">
        <f>+I15*$D$9*30/$D$10</f>
        <v>658939.94999999995</v>
      </c>
      <c r="L16" s="67">
        <f>+K16</f>
        <v>658939.94999999995</v>
      </c>
      <c r="N16" s="54">
        <f>+WORKDAY(E16-1,1,[1]Feriados!$A$2:$A$112)</f>
        <v>46323</v>
      </c>
      <c r="O16" s="38">
        <f>+H16</f>
        <v>33650171.844791666</v>
      </c>
      <c r="P16" s="38">
        <f>+O16/((1+$Q$53)^((N16-$N$14)/$D$10))</f>
        <v>29087689.591671363</v>
      </c>
      <c r="Q16" s="53">
        <f>+P16*((N16-$N$14)/$D$10)</f>
        <v>15432635.311136751</v>
      </c>
      <c r="S16" s="36">
        <v>1</v>
      </c>
      <c r="T16" s="37">
        <f>+E16</f>
        <v>46323</v>
      </c>
      <c r="U16" s="107">
        <v>29286220</v>
      </c>
      <c r="V16" s="38">
        <f>+ROUND(X15*$F$8/$D$10*Z16,0)</f>
        <v>4283110</v>
      </c>
      <c r="W16" s="39">
        <f t="shared" ref="W16" si="0">+U16+V16</f>
        <v>33569330</v>
      </c>
      <c r="X16" s="40">
        <f>+X15-U16</f>
        <v>0</v>
      </c>
      <c r="Y16" s="41">
        <f>+U16/$D$6</f>
        <v>1</v>
      </c>
      <c r="Z16">
        <f>+VDFB!AA16</f>
        <v>195</v>
      </c>
    </row>
    <row r="17" spans="2:25" x14ac:dyDescent="0.25">
      <c r="B17" s="29">
        <f>+VDFB!B17</f>
        <v>270129282</v>
      </c>
      <c r="D17" s="68">
        <f t="shared" ref="D17:D50" si="1">D16+1</f>
        <v>2</v>
      </c>
      <c r="E17" s="65">
        <f>+EDATE(E16,1)</f>
        <v>46354</v>
      </c>
      <c r="F17" s="107">
        <f>MIN(I16,(VDFB!B17-G17))</f>
        <v>0</v>
      </c>
      <c r="G17" s="39">
        <f t="shared" ref="G17:G50" si="2">+I16*(MAX($F$8,MIN($G$8,$D$7+$D$8)))/$D$10*Z17</f>
        <v>0</v>
      </c>
      <c r="H17" s="39">
        <f>+G17+F17</f>
        <v>0</v>
      </c>
      <c r="I17" s="39">
        <f>+I16-F17</f>
        <v>0</v>
      </c>
      <c r="J17" s="66">
        <f t="shared" ref="J17:J50" si="3">+F17/$D$6</f>
        <v>0</v>
      </c>
      <c r="K17" s="67">
        <f t="shared" ref="K17:K19" si="4">+I16*$D$9*30/$D$10</f>
        <v>0</v>
      </c>
      <c r="L17" s="67">
        <f t="shared" ref="L17:L50" si="5">+L16+K17-G17</f>
        <v>658939.94999999995</v>
      </c>
      <c r="N17" s="54">
        <f>+WORKDAY(E17-1,1,[1]Feriados!$A$2:$A$112)</f>
        <v>46356</v>
      </c>
      <c r="O17" s="38">
        <f t="shared" ref="O17:O50" si="6">+H17</f>
        <v>0</v>
      </c>
      <c r="P17" s="38">
        <f t="shared" ref="P17:P50" si="7">+O17/((1+$Q$53)^((N17-$N$14)/$D$10))</f>
        <v>0</v>
      </c>
      <c r="Q17" s="53">
        <f t="shared" ref="Q17:Q50" si="8">+P17*((N17-$N$14)/$D$10)</f>
        <v>0</v>
      </c>
      <c r="S17" s="36"/>
      <c r="T17" s="37"/>
      <c r="U17" s="107"/>
      <c r="V17" s="38"/>
      <c r="W17" s="39"/>
      <c r="X17" s="40"/>
      <c r="Y17" s="41"/>
    </row>
    <row r="18" spans="2:25" x14ac:dyDescent="0.25">
      <c r="B18" s="29">
        <f>+VDFB!B18</f>
        <v>307395711</v>
      </c>
      <c r="D18" s="68">
        <f t="shared" si="1"/>
        <v>3</v>
      </c>
      <c r="E18" s="65">
        <f t="shared" ref="E18:E50" si="9">+EDATE(E17,1)</f>
        <v>46384</v>
      </c>
      <c r="F18" s="107">
        <f>MIN(I17,(VDFB!B18-G18))</f>
        <v>0</v>
      </c>
      <c r="G18" s="39">
        <f t="shared" si="2"/>
        <v>0</v>
      </c>
      <c r="H18" s="39">
        <f t="shared" ref="H18:H21" si="10">+G18+F18</f>
        <v>0</v>
      </c>
      <c r="I18" s="39">
        <f t="shared" ref="I18:I50" si="11">+I17-F18</f>
        <v>0</v>
      </c>
      <c r="J18" s="66">
        <f t="shared" si="3"/>
        <v>0</v>
      </c>
      <c r="K18" s="67">
        <f t="shared" si="4"/>
        <v>0</v>
      </c>
      <c r="L18" s="67">
        <f t="shared" si="5"/>
        <v>658939.94999999995</v>
      </c>
      <c r="N18" s="54">
        <f>+WORKDAY(E18-1,1,[1]Feriados!$A$2:$A$112)</f>
        <v>46384</v>
      </c>
      <c r="O18" s="38">
        <f t="shared" si="6"/>
        <v>0</v>
      </c>
      <c r="P18" s="38">
        <f t="shared" si="7"/>
        <v>0</v>
      </c>
      <c r="Q18" s="53">
        <f t="shared" si="8"/>
        <v>0</v>
      </c>
      <c r="S18" s="36"/>
      <c r="T18" s="37"/>
      <c r="U18" s="107"/>
      <c r="V18" s="38"/>
      <c r="W18" s="39"/>
      <c r="X18" s="40"/>
      <c r="Y18" s="41"/>
    </row>
    <row r="19" spans="2:25" x14ac:dyDescent="0.25">
      <c r="B19" s="29">
        <f>+VDFB!B19</f>
        <v>316130665</v>
      </c>
      <c r="D19" s="68">
        <f t="shared" si="1"/>
        <v>4</v>
      </c>
      <c r="E19" s="65">
        <f t="shared" si="9"/>
        <v>46415</v>
      </c>
      <c r="F19" s="107">
        <f>MIN(I18,(VDFB!B19-G19))</f>
        <v>0</v>
      </c>
      <c r="G19" s="39">
        <f t="shared" si="2"/>
        <v>0</v>
      </c>
      <c r="H19" s="39">
        <f t="shared" si="10"/>
        <v>0</v>
      </c>
      <c r="I19" s="39">
        <f t="shared" si="11"/>
        <v>0</v>
      </c>
      <c r="J19" s="66">
        <f t="shared" si="3"/>
        <v>0</v>
      </c>
      <c r="K19" s="67">
        <f t="shared" si="4"/>
        <v>0</v>
      </c>
      <c r="L19" s="67">
        <f t="shared" si="5"/>
        <v>658939.94999999995</v>
      </c>
      <c r="N19" s="54">
        <f>+WORKDAY(E19-1,1,[1]Feriados!$A$2:$A$112)</f>
        <v>46415</v>
      </c>
      <c r="O19" s="38">
        <f t="shared" si="6"/>
        <v>0</v>
      </c>
      <c r="P19" s="38">
        <f t="shared" si="7"/>
        <v>0</v>
      </c>
      <c r="Q19" s="53">
        <f t="shared" si="8"/>
        <v>0</v>
      </c>
      <c r="S19" s="36"/>
      <c r="T19" s="37"/>
      <c r="U19" s="107"/>
      <c r="V19" s="38"/>
      <c r="W19" s="39"/>
      <c r="X19" s="40"/>
      <c r="Y19" s="41"/>
    </row>
    <row r="20" spans="2:25" hidden="1" x14ac:dyDescent="0.25">
      <c r="B20" s="29">
        <f>+VDFB!B20</f>
        <v>272245790</v>
      </c>
      <c r="D20" s="68">
        <f t="shared" si="1"/>
        <v>5</v>
      </c>
      <c r="E20" s="65">
        <f t="shared" si="9"/>
        <v>46446</v>
      </c>
      <c r="F20" s="107">
        <f>MIN(I19,(VDFB!B20-G20))</f>
        <v>0</v>
      </c>
      <c r="G20" s="39">
        <f t="shared" si="2"/>
        <v>0</v>
      </c>
      <c r="H20" s="39">
        <f t="shared" si="10"/>
        <v>0</v>
      </c>
      <c r="I20" s="39">
        <f t="shared" si="11"/>
        <v>0</v>
      </c>
      <c r="J20" s="66">
        <f t="shared" si="3"/>
        <v>0</v>
      </c>
      <c r="K20" s="67">
        <f t="shared" ref="K20:K50" si="12">+I19*$D$9/$D$10*(E20-E19)</f>
        <v>0</v>
      </c>
      <c r="L20" s="67">
        <f t="shared" si="5"/>
        <v>658939.94999999995</v>
      </c>
      <c r="N20" s="54">
        <f>+WORKDAY(E20-1,1,[1]Feriados!$A$2:$A$112)</f>
        <v>46447</v>
      </c>
      <c r="O20" s="38">
        <f t="shared" si="6"/>
        <v>0</v>
      </c>
      <c r="P20" s="38">
        <f t="shared" si="7"/>
        <v>0</v>
      </c>
      <c r="Q20" s="53">
        <f t="shared" si="8"/>
        <v>0</v>
      </c>
      <c r="S20" s="36"/>
      <c r="T20" s="37"/>
      <c r="U20" s="107"/>
      <c r="V20" s="38"/>
      <c r="W20" s="39"/>
      <c r="X20" s="40"/>
      <c r="Y20" s="41"/>
    </row>
    <row r="21" spans="2:25" hidden="1" x14ac:dyDescent="0.25">
      <c r="B21" s="29">
        <f>+VDFB!B21</f>
        <v>126274695</v>
      </c>
      <c r="D21" s="68">
        <f t="shared" si="1"/>
        <v>6</v>
      </c>
      <c r="E21" s="65">
        <f t="shared" si="9"/>
        <v>46474</v>
      </c>
      <c r="F21" s="107">
        <f>MIN(I20,(VDFB!B21-G21))</f>
        <v>0</v>
      </c>
      <c r="G21" s="39">
        <f t="shared" si="2"/>
        <v>0</v>
      </c>
      <c r="H21" s="39">
        <f t="shared" si="10"/>
        <v>0</v>
      </c>
      <c r="I21" s="39">
        <f t="shared" si="11"/>
        <v>0</v>
      </c>
      <c r="J21" s="66">
        <f t="shared" si="3"/>
        <v>0</v>
      </c>
      <c r="K21" s="67">
        <f t="shared" si="12"/>
        <v>0</v>
      </c>
      <c r="L21" s="67">
        <f t="shared" si="5"/>
        <v>658939.94999999995</v>
      </c>
      <c r="N21" s="54">
        <f>+WORKDAY(E21-1,1,[1]Feriados!$A$2:$A$112)</f>
        <v>46475</v>
      </c>
      <c r="O21" s="38">
        <f t="shared" si="6"/>
        <v>0</v>
      </c>
      <c r="P21" s="38">
        <f t="shared" si="7"/>
        <v>0</v>
      </c>
      <c r="Q21" s="53">
        <f t="shared" si="8"/>
        <v>0</v>
      </c>
      <c r="S21" s="36"/>
      <c r="T21" s="37"/>
      <c r="U21" s="107"/>
      <c r="V21" s="38"/>
      <c r="W21" s="39"/>
      <c r="X21" s="40"/>
      <c r="Y21" s="41"/>
    </row>
    <row r="22" spans="2:25" hidden="1" x14ac:dyDescent="0.25">
      <c r="B22" s="29">
        <f>+VDFB!B22</f>
        <v>68531487</v>
      </c>
      <c r="D22" s="68">
        <f t="shared" si="1"/>
        <v>7</v>
      </c>
      <c r="E22" s="65">
        <f t="shared" si="9"/>
        <v>46505</v>
      </c>
      <c r="F22" s="107">
        <f>MIN(I21,(VDFB!B22-G22))</f>
        <v>0</v>
      </c>
      <c r="G22" s="39">
        <f t="shared" si="2"/>
        <v>0</v>
      </c>
      <c r="H22" s="39">
        <f>+F22+G22</f>
        <v>0</v>
      </c>
      <c r="I22" s="39">
        <f t="shared" si="11"/>
        <v>0</v>
      </c>
      <c r="J22" s="66">
        <f t="shared" si="3"/>
        <v>0</v>
      </c>
      <c r="K22" s="67">
        <f t="shared" si="12"/>
        <v>0</v>
      </c>
      <c r="L22" s="67">
        <f t="shared" si="5"/>
        <v>658939.94999999995</v>
      </c>
      <c r="N22" s="54">
        <f>+WORKDAY(E22-1,1,[1]Feriados!$A$2:$A$112)</f>
        <v>46505</v>
      </c>
      <c r="O22" s="38">
        <f t="shared" si="6"/>
        <v>0</v>
      </c>
      <c r="P22" s="38">
        <f t="shared" si="7"/>
        <v>0</v>
      </c>
      <c r="Q22" s="53">
        <f t="shared" si="8"/>
        <v>0</v>
      </c>
      <c r="S22" s="36"/>
      <c r="T22" s="37"/>
      <c r="U22" s="107"/>
      <c r="V22" s="38"/>
      <c r="W22" s="39"/>
      <c r="X22" s="40"/>
      <c r="Y22" s="41"/>
    </row>
    <row r="23" spans="2:25" hidden="1" x14ac:dyDescent="0.25">
      <c r="B23" s="29">
        <f>+VDFB!B23</f>
        <v>55074801</v>
      </c>
      <c r="D23" s="68">
        <f t="shared" si="1"/>
        <v>8</v>
      </c>
      <c r="E23" s="65">
        <f t="shared" si="9"/>
        <v>46535</v>
      </c>
      <c r="F23" s="107">
        <f>MIN(I22,(VDFB!B23-G23))</f>
        <v>0</v>
      </c>
      <c r="G23" s="39">
        <f t="shared" si="2"/>
        <v>0</v>
      </c>
      <c r="H23" s="39">
        <f>+F23+G23</f>
        <v>0</v>
      </c>
      <c r="I23" s="39">
        <f t="shared" si="11"/>
        <v>0</v>
      </c>
      <c r="J23" s="66">
        <f t="shared" si="3"/>
        <v>0</v>
      </c>
      <c r="K23" s="67">
        <f t="shared" si="12"/>
        <v>0</v>
      </c>
      <c r="L23" s="67">
        <f t="shared" si="5"/>
        <v>658939.94999999995</v>
      </c>
      <c r="N23" s="54">
        <f>+WORKDAY(E23-1,1,[1]Feriados!$A$2:$A$112)</f>
        <v>46535</v>
      </c>
      <c r="O23" s="38">
        <f t="shared" si="6"/>
        <v>0</v>
      </c>
      <c r="P23" s="38">
        <f t="shared" si="7"/>
        <v>0</v>
      </c>
      <c r="Q23" s="53">
        <f t="shared" si="8"/>
        <v>0</v>
      </c>
      <c r="S23" s="36"/>
      <c r="T23" s="37"/>
      <c r="U23" s="107"/>
      <c r="V23" s="38"/>
      <c r="W23" s="39"/>
      <c r="X23" s="40"/>
      <c r="Y23" s="41"/>
    </row>
    <row r="24" spans="2:25" hidden="1" x14ac:dyDescent="0.25">
      <c r="B24" s="29">
        <f>+VDFB!B24</f>
        <v>46837632</v>
      </c>
      <c r="D24" s="68">
        <f t="shared" si="1"/>
        <v>9</v>
      </c>
      <c r="E24" s="65">
        <f t="shared" si="9"/>
        <v>46566</v>
      </c>
      <c r="F24" s="107">
        <f>MIN(I23,(VDFB!B24-G24))</f>
        <v>0</v>
      </c>
      <c r="G24" s="39">
        <f t="shared" si="2"/>
        <v>0</v>
      </c>
      <c r="H24" s="39">
        <f>+F24+G24</f>
        <v>0</v>
      </c>
      <c r="I24" s="39">
        <f t="shared" si="11"/>
        <v>0</v>
      </c>
      <c r="J24" s="66">
        <f t="shared" si="3"/>
        <v>0</v>
      </c>
      <c r="K24" s="67">
        <f t="shared" si="12"/>
        <v>0</v>
      </c>
      <c r="L24" s="67">
        <f t="shared" si="5"/>
        <v>658939.94999999995</v>
      </c>
      <c r="N24" s="54">
        <f>+WORKDAY(E24-1,1,[1]Feriados!$A$2:$A$112)</f>
        <v>46566</v>
      </c>
      <c r="O24" s="38">
        <f t="shared" si="6"/>
        <v>0</v>
      </c>
      <c r="P24" s="38">
        <f t="shared" si="7"/>
        <v>0</v>
      </c>
      <c r="Q24" s="53">
        <f t="shared" si="8"/>
        <v>0</v>
      </c>
      <c r="S24" s="36"/>
      <c r="T24" s="37"/>
      <c r="U24" s="107"/>
      <c r="V24" s="38"/>
      <c r="W24" s="39"/>
      <c r="X24" s="40"/>
      <c r="Y24" s="41"/>
    </row>
    <row r="25" spans="2:25" hidden="1" x14ac:dyDescent="0.25">
      <c r="B25" s="29">
        <f>+VDFB!B25</f>
        <v>42027631</v>
      </c>
      <c r="D25" s="68">
        <f t="shared" si="1"/>
        <v>10</v>
      </c>
      <c r="E25" s="65">
        <f t="shared" si="9"/>
        <v>46596</v>
      </c>
      <c r="F25" s="107">
        <f>MIN(I24,(VDFB!B25-G25))</f>
        <v>0</v>
      </c>
      <c r="G25" s="39">
        <f t="shared" si="2"/>
        <v>0</v>
      </c>
      <c r="H25" s="39">
        <f>+F25+G25</f>
        <v>0</v>
      </c>
      <c r="I25" s="39">
        <f t="shared" si="11"/>
        <v>0</v>
      </c>
      <c r="J25" s="66">
        <f t="shared" si="3"/>
        <v>0</v>
      </c>
      <c r="K25" s="67">
        <f t="shared" si="12"/>
        <v>0</v>
      </c>
      <c r="L25" s="67">
        <f t="shared" si="5"/>
        <v>658939.94999999995</v>
      </c>
      <c r="N25" s="54">
        <f>+WORKDAY(E25-1,1,[1]Feriados!$A$2:$A$112)</f>
        <v>46596</v>
      </c>
      <c r="O25" s="38">
        <f t="shared" si="6"/>
        <v>0</v>
      </c>
      <c r="P25" s="38">
        <f t="shared" si="7"/>
        <v>0</v>
      </c>
      <c r="Q25" s="53">
        <f t="shared" si="8"/>
        <v>0</v>
      </c>
      <c r="S25" s="36"/>
      <c r="T25" s="37"/>
      <c r="U25" s="107"/>
      <c r="V25" s="38"/>
      <c r="W25" s="39"/>
      <c r="X25" s="40"/>
      <c r="Y25" s="41"/>
    </row>
    <row r="26" spans="2:25" hidden="1" x14ac:dyDescent="0.25">
      <c r="B26" s="29">
        <f>+VDFB!B26</f>
        <v>30265374</v>
      </c>
      <c r="D26" s="68">
        <f t="shared" si="1"/>
        <v>11</v>
      </c>
      <c r="E26" s="65">
        <f t="shared" si="9"/>
        <v>46627</v>
      </c>
      <c r="F26" s="107">
        <f>MIN(I25,(VDFB!B26-G26))</f>
        <v>0</v>
      </c>
      <c r="G26" s="39">
        <f t="shared" si="2"/>
        <v>0</v>
      </c>
      <c r="H26" s="39">
        <f t="shared" ref="H26:H50" si="13">+F26+G26</f>
        <v>0</v>
      </c>
      <c r="I26" s="39">
        <f t="shared" si="11"/>
        <v>0</v>
      </c>
      <c r="J26" s="66">
        <f t="shared" si="3"/>
        <v>0</v>
      </c>
      <c r="K26" s="67">
        <f t="shared" si="12"/>
        <v>0</v>
      </c>
      <c r="L26" s="67">
        <f t="shared" si="5"/>
        <v>658939.94999999995</v>
      </c>
      <c r="N26" s="54">
        <f>+WORKDAY(E26-1,1,[1]Feriados!$A$2:$A$112)</f>
        <v>46629</v>
      </c>
      <c r="O26" s="38">
        <f t="shared" si="6"/>
        <v>0</v>
      </c>
      <c r="P26" s="38">
        <f t="shared" si="7"/>
        <v>0</v>
      </c>
      <c r="Q26" s="53">
        <f t="shared" si="8"/>
        <v>0</v>
      </c>
      <c r="S26" s="36"/>
      <c r="T26" s="37"/>
      <c r="U26" s="107"/>
      <c r="V26" s="38"/>
      <c r="W26" s="39"/>
      <c r="X26" s="40"/>
      <c r="Y26" s="41"/>
    </row>
    <row r="27" spans="2:25" hidden="1" x14ac:dyDescent="0.25">
      <c r="B27" s="29">
        <f>+VDFB!B27</f>
        <v>13855939</v>
      </c>
      <c r="D27" s="68">
        <f t="shared" si="1"/>
        <v>12</v>
      </c>
      <c r="E27" s="65">
        <f t="shared" si="9"/>
        <v>46658</v>
      </c>
      <c r="F27" s="107">
        <f>MIN(I26,(VDFB!B27-G27))</f>
        <v>0</v>
      </c>
      <c r="G27" s="39">
        <f t="shared" si="2"/>
        <v>0</v>
      </c>
      <c r="H27" s="39">
        <f t="shared" si="13"/>
        <v>0</v>
      </c>
      <c r="I27" s="39">
        <f t="shared" si="11"/>
        <v>0</v>
      </c>
      <c r="J27" s="66">
        <f t="shared" si="3"/>
        <v>0</v>
      </c>
      <c r="K27" s="67">
        <f t="shared" si="12"/>
        <v>0</v>
      </c>
      <c r="L27" s="67">
        <f t="shared" si="5"/>
        <v>658939.94999999995</v>
      </c>
      <c r="N27" s="54">
        <f>+WORKDAY(E27-1,1,[1]Feriados!$A$2:$A$112)</f>
        <v>46658</v>
      </c>
      <c r="O27" s="38">
        <f t="shared" si="6"/>
        <v>0</v>
      </c>
      <c r="P27" s="38">
        <f t="shared" si="7"/>
        <v>0</v>
      </c>
      <c r="Q27" s="53">
        <f t="shared" si="8"/>
        <v>0</v>
      </c>
      <c r="S27" s="36"/>
      <c r="T27" s="37"/>
      <c r="U27" s="107"/>
      <c r="V27" s="38"/>
      <c r="W27" s="39"/>
      <c r="X27" s="40"/>
      <c r="Y27" s="41"/>
    </row>
    <row r="28" spans="2:25" hidden="1" x14ac:dyDescent="0.25">
      <c r="B28" s="29">
        <f>+VDFB!B28</f>
        <v>7759808</v>
      </c>
      <c r="D28" s="68">
        <f t="shared" si="1"/>
        <v>13</v>
      </c>
      <c r="E28" s="65">
        <f t="shared" si="9"/>
        <v>46688</v>
      </c>
      <c r="F28" s="107">
        <f>MIN(I27,(VDFB!B28-G28))</f>
        <v>0</v>
      </c>
      <c r="G28" s="39">
        <f t="shared" si="2"/>
        <v>0</v>
      </c>
      <c r="H28" s="39">
        <f t="shared" si="13"/>
        <v>0</v>
      </c>
      <c r="I28" s="39">
        <f t="shared" si="11"/>
        <v>0</v>
      </c>
      <c r="J28" s="66">
        <f t="shared" si="3"/>
        <v>0</v>
      </c>
      <c r="K28" s="67">
        <f t="shared" si="12"/>
        <v>0</v>
      </c>
      <c r="L28" s="67">
        <f t="shared" si="5"/>
        <v>658939.94999999995</v>
      </c>
      <c r="N28" s="54">
        <f>+WORKDAY(E28-1,1,[1]Feriados!$A$2:$A$112)</f>
        <v>46688</v>
      </c>
      <c r="O28" s="38">
        <f t="shared" si="6"/>
        <v>0</v>
      </c>
      <c r="P28" s="38">
        <f t="shared" si="7"/>
        <v>0</v>
      </c>
      <c r="Q28" s="53">
        <f t="shared" si="8"/>
        <v>0</v>
      </c>
      <c r="S28" s="36"/>
      <c r="T28" s="37"/>
      <c r="U28" s="107"/>
      <c r="V28" s="38"/>
      <c r="W28" s="39"/>
      <c r="X28" s="40"/>
      <c r="Y28" s="41"/>
    </row>
    <row r="29" spans="2:25" hidden="1" x14ac:dyDescent="0.25">
      <c r="B29" s="29">
        <f>+VDFB!B29</f>
        <v>4563861</v>
      </c>
      <c r="D29" s="68">
        <f t="shared" si="1"/>
        <v>14</v>
      </c>
      <c r="E29" s="65">
        <f t="shared" si="9"/>
        <v>46719</v>
      </c>
      <c r="F29" s="107">
        <f>MIN(I28,(VDFB!B29-G29))</f>
        <v>0</v>
      </c>
      <c r="G29" s="39">
        <f t="shared" si="2"/>
        <v>0</v>
      </c>
      <c r="H29" s="39">
        <f t="shared" si="13"/>
        <v>0</v>
      </c>
      <c r="I29" s="39">
        <f t="shared" si="11"/>
        <v>0</v>
      </c>
      <c r="J29" s="66">
        <f t="shared" si="3"/>
        <v>0</v>
      </c>
      <c r="K29" s="67">
        <f t="shared" si="12"/>
        <v>0</v>
      </c>
      <c r="L29" s="67">
        <f t="shared" si="5"/>
        <v>658939.94999999995</v>
      </c>
      <c r="N29" s="54">
        <f>+WORKDAY(E29-1,1,[1]Feriados!$A$2:$A$112)</f>
        <v>46720</v>
      </c>
      <c r="O29" s="38">
        <f t="shared" si="6"/>
        <v>0</v>
      </c>
      <c r="P29" s="38">
        <f t="shared" si="7"/>
        <v>0</v>
      </c>
      <c r="Q29" s="53">
        <f t="shared" si="8"/>
        <v>0</v>
      </c>
      <c r="S29" s="36"/>
      <c r="T29" s="37"/>
      <c r="U29" s="107"/>
      <c r="V29" s="38"/>
      <c r="W29" s="39"/>
      <c r="X29" s="40"/>
      <c r="Y29" s="41"/>
    </row>
    <row r="30" spans="2:25" hidden="1" x14ac:dyDescent="0.25">
      <c r="B30" s="29">
        <f>+VDFB!B30</f>
        <v>7912809</v>
      </c>
      <c r="D30" s="68">
        <f t="shared" si="1"/>
        <v>15</v>
      </c>
      <c r="E30" s="65">
        <f t="shared" si="9"/>
        <v>46749</v>
      </c>
      <c r="F30" s="107">
        <f>MIN(I29,(VDFB!B30-G30))</f>
        <v>0</v>
      </c>
      <c r="G30" s="39">
        <f t="shared" si="2"/>
        <v>0</v>
      </c>
      <c r="H30" s="39">
        <f t="shared" si="13"/>
        <v>0</v>
      </c>
      <c r="I30" s="39">
        <f t="shared" si="11"/>
        <v>0</v>
      </c>
      <c r="J30" s="66">
        <f t="shared" si="3"/>
        <v>0</v>
      </c>
      <c r="K30" s="67">
        <f t="shared" si="12"/>
        <v>0</v>
      </c>
      <c r="L30" s="67">
        <f t="shared" si="5"/>
        <v>658939.94999999995</v>
      </c>
      <c r="N30" s="54">
        <f>+WORKDAY(E30-1,1,[1]Feriados!$A$2:$A$112)</f>
        <v>46749</v>
      </c>
      <c r="O30" s="38">
        <f t="shared" si="6"/>
        <v>0</v>
      </c>
      <c r="P30" s="38">
        <f t="shared" si="7"/>
        <v>0</v>
      </c>
      <c r="Q30" s="53">
        <f t="shared" si="8"/>
        <v>0</v>
      </c>
      <c r="S30" s="36"/>
      <c r="T30" s="37"/>
      <c r="U30" s="107"/>
      <c r="V30" s="38"/>
      <c r="W30" s="39"/>
      <c r="X30" s="40"/>
      <c r="Y30" s="41"/>
    </row>
    <row r="31" spans="2:25" hidden="1" x14ac:dyDescent="0.25">
      <c r="B31" s="29">
        <f>+VDFB!B31</f>
        <v>6500941</v>
      </c>
      <c r="D31" s="68">
        <f t="shared" si="1"/>
        <v>16</v>
      </c>
      <c r="E31" s="65">
        <f t="shared" si="9"/>
        <v>46780</v>
      </c>
      <c r="F31" s="107">
        <f>MIN(I30,(VDFB!B31-G31))</f>
        <v>0</v>
      </c>
      <c r="G31" s="39">
        <f t="shared" si="2"/>
        <v>0</v>
      </c>
      <c r="H31" s="39">
        <f t="shared" si="13"/>
        <v>0</v>
      </c>
      <c r="I31" s="39">
        <f t="shared" si="11"/>
        <v>0</v>
      </c>
      <c r="J31" s="66">
        <f t="shared" si="3"/>
        <v>0</v>
      </c>
      <c r="K31" s="67">
        <f t="shared" si="12"/>
        <v>0</v>
      </c>
      <c r="L31" s="67">
        <f t="shared" si="5"/>
        <v>658939.94999999995</v>
      </c>
      <c r="N31" s="54">
        <f>+WORKDAY(E31-1,1,[1]Feriados!$A$2:$A$112)</f>
        <v>46780</v>
      </c>
      <c r="O31" s="38">
        <f t="shared" si="6"/>
        <v>0</v>
      </c>
      <c r="P31" s="38">
        <f t="shared" si="7"/>
        <v>0</v>
      </c>
      <c r="Q31" s="53">
        <f t="shared" si="8"/>
        <v>0</v>
      </c>
      <c r="S31" s="36"/>
      <c r="T31" s="37"/>
      <c r="U31" s="107"/>
      <c r="V31" s="38"/>
      <c r="W31" s="39"/>
      <c r="X31" s="40"/>
      <c r="Y31" s="41"/>
    </row>
    <row r="32" spans="2:25" hidden="1" x14ac:dyDescent="0.25">
      <c r="B32" s="29">
        <f>+VDFB!B32</f>
        <v>2594487</v>
      </c>
      <c r="D32" s="68">
        <f t="shared" si="1"/>
        <v>17</v>
      </c>
      <c r="E32" s="65">
        <f t="shared" si="9"/>
        <v>46811</v>
      </c>
      <c r="F32" s="107">
        <f>MIN(I31,(VDFB!B32-G32))</f>
        <v>0</v>
      </c>
      <c r="G32" s="39">
        <f t="shared" si="2"/>
        <v>0</v>
      </c>
      <c r="H32" s="39">
        <f t="shared" si="13"/>
        <v>0</v>
      </c>
      <c r="I32" s="39">
        <f t="shared" si="11"/>
        <v>0</v>
      </c>
      <c r="J32" s="66">
        <f t="shared" si="3"/>
        <v>0</v>
      </c>
      <c r="K32" s="67">
        <f t="shared" si="12"/>
        <v>0</v>
      </c>
      <c r="L32" s="67">
        <f t="shared" si="5"/>
        <v>658939.94999999995</v>
      </c>
      <c r="N32" s="54">
        <f>+WORKDAY(E32-1,1,[1]Feriados!$A$2:$A$112)</f>
        <v>46811</v>
      </c>
      <c r="O32" s="38">
        <f t="shared" si="6"/>
        <v>0</v>
      </c>
      <c r="P32" s="38">
        <f t="shared" si="7"/>
        <v>0</v>
      </c>
      <c r="Q32" s="53">
        <f t="shared" si="8"/>
        <v>0</v>
      </c>
      <c r="S32" s="36"/>
      <c r="T32" s="37"/>
      <c r="U32" s="107"/>
      <c r="V32" s="38"/>
      <c r="W32" s="39"/>
      <c r="X32" s="40"/>
      <c r="Y32" s="41"/>
    </row>
    <row r="33" spans="2:25" hidden="1" x14ac:dyDescent="0.25">
      <c r="B33" s="29">
        <f>+VDFB!B33</f>
        <v>393829</v>
      </c>
      <c r="D33" s="68">
        <f t="shared" si="1"/>
        <v>18</v>
      </c>
      <c r="E33" s="65">
        <f t="shared" si="9"/>
        <v>46840</v>
      </c>
      <c r="F33" s="107">
        <f>MIN(I32,(VDFB!B33-G33))</f>
        <v>0</v>
      </c>
      <c r="G33" s="39">
        <f t="shared" si="2"/>
        <v>0</v>
      </c>
      <c r="H33" s="39">
        <f t="shared" si="13"/>
        <v>0</v>
      </c>
      <c r="I33" s="39">
        <f t="shared" si="11"/>
        <v>0</v>
      </c>
      <c r="J33" s="66">
        <f t="shared" si="3"/>
        <v>0</v>
      </c>
      <c r="K33" s="67">
        <f t="shared" si="12"/>
        <v>0</v>
      </c>
      <c r="L33" s="67">
        <f t="shared" si="5"/>
        <v>658939.94999999995</v>
      </c>
      <c r="N33" s="54">
        <f>+WORKDAY(E33-1,1,[1]Feriados!$A$2:$A$112)</f>
        <v>46840</v>
      </c>
      <c r="O33" s="38">
        <f t="shared" si="6"/>
        <v>0</v>
      </c>
      <c r="P33" s="38">
        <f t="shared" si="7"/>
        <v>0</v>
      </c>
      <c r="Q33" s="53">
        <f t="shared" si="8"/>
        <v>0</v>
      </c>
      <c r="S33" s="36"/>
      <c r="T33" s="37"/>
      <c r="U33" s="107"/>
      <c r="V33" s="38"/>
      <c r="W33" s="39"/>
      <c r="X33" s="40"/>
      <c r="Y33" s="41"/>
    </row>
    <row r="34" spans="2:25" hidden="1" x14ac:dyDescent="0.25">
      <c r="B34" s="29">
        <f>+VDFB!B34</f>
        <v>3010325</v>
      </c>
      <c r="D34" s="68">
        <f t="shared" si="1"/>
        <v>19</v>
      </c>
      <c r="E34" s="65">
        <f t="shared" si="9"/>
        <v>46871</v>
      </c>
      <c r="F34" s="107">
        <f>MIN(I33,(VDFB!B34-G34))</f>
        <v>0</v>
      </c>
      <c r="G34" s="39">
        <f t="shared" si="2"/>
        <v>0</v>
      </c>
      <c r="H34" s="39">
        <f t="shared" si="13"/>
        <v>0</v>
      </c>
      <c r="I34" s="39">
        <f t="shared" si="11"/>
        <v>0</v>
      </c>
      <c r="J34" s="66">
        <f t="shared" si="3"/>
        <v>0</v>
      </c>
      <c r="K34" s="67">
        <f t="shared" si="12"/>
        <v>0</v>
      </c>
      <c r="L34" s="67">
        <f t="shared" si="5"/>
        <v>658939.94999999995</v>
      </c>
      <c r="N34" s="54">
        <f>+WORKDAY(E34-1,1,[1]Feriados!$A$2:$A$112)</f>
        <v>46871</v>
      </c>
      <c r="O34" s="38">
        <f t="shared" si="6"/>
        <v>0</v>
      </c>
      <c r="P34" s="38">
        <f t="shared" si="7"/>
        <v>0</v>
      </c>
      <c r="Q34" s="53">
        <f t="shared" si="8"/>
        <v>0</v>
      </c>
      <c r="S34" s="36"/>
      <c r="T34" s="37"/>
      <c r="U34" s="107"/>
      <c r="V34" s="38"/>
      <c r="W34" s="39"/>
      <c r="X34" s="40"/>
      <c r="Y34" s="41"/>
    </row>
    <row r="35" spans="2:25" hidden="1" x14ac:dyDescent="0.25">
      <c r="B35" s="29">
        <f>+VDFB!B35</f>
        <v>0</v>
      </c>
      <c r="D35" s="68">
        <f t="shared" si="1"/>
        <v>20</v>
      </c>
      <c r="E35" s="65">
        <f t="shared" si="9"/>
        <v>46901</v>
      </c>
      <c r="F35" s="107">
        <f>MIN(I34,(VDFB!B35-G35))</f>
        <v>0</v>
      </c>
      <c r="G35" s="39">
        <f t="shared" si="2"/>
        <v>0</v>
      </c>
      <c r="H35" s="39">
        <f t="shared" si="13"/>
        <v>0</v>
      </c>
      <c r="I35" s="39">
        <f t="shared" si="11"/>
        <v>0</v>
      </c>
      <c r="J35" s="66">
        <f t="shared" si="3"/>
        <v>0</v>
      </c>
      <c r="K35" s="67">
        <f t="shared" si="12"/>
        <v>0</v>
      </c>
      <c r="L35" s="67">
        <f t="shared" si="5"/>
        <v>658939.94999999995</v>
      </c>
      <c r="N35" s="54">
        <f>+WORKDAY(E35-1,1,[1]Feriados!$A$2:$A$112)</f>
        <v>46902</v>
      </c>
      <c r="O35" s="38">
        <f t="shared" si="6"/>
        <v>0</v>
      </c>
      <c r="P35" s="38">
        <f t="shared" si="7"/>
        <v>0</v>
      </c>
      <c r="Q35" s="53">
        <f t="shared" si="8"/>
        <v>0</v>
      </c>
      <c r="S35" s="36"/>
      <c r="T35" s="37"/>
      <c r="U35" s="107"/>
      <c r="V35" s="38"/>
      <c r="W35" s="39"/>
      <c r="X35" s="40"/>
      <c r="Y35" s="41"/>
    </row>
    <row r="36" spans="2:25" hidden="1" x14ac:dyDescent="0.25">
      <c r="B36" s="29">
        <f>+VDFB!B36</f>
        <v>0</v>
      </c>
      <c r="D36" s="68">
        <f t="shared" si="1"/>
        <v>21</v>
      </c>
      <c r="E36" s="65">
        <f t="shared" si="9"/>
        <v>46932</v>
      </c>
      <c r="F36" s="107">
        <f>MIN(I35,(VDFB!B36-G36))</f>
        <v>0</v>
      </c>
      <c r="G36" s="39">
        <f t="shared" si="2"/>
        <v>0</v>
      </c>
      <c r="H36" s="39">
        <f t="shared" si="13"/>
        <v>0</v>
      </c>
      <c r="I36" s="39">
        <f t="shared" si="11"/>
        <v>0</v>
      </c>
      <c r="J36" s="66">
        <f t="shared" si="3"/>
        <v>0</v>
      </c>
      <c r="K36" s="67">
        <f t="shared" si="12"/>
        <v>0</v>
      </c>
      <c r="L36" s="67">
        <f t="shared" si="5"/>
        <v>658939.94999999995</v>
      </c>
      <c r="N36" s="54">
        <f>+WORKDAY(E36-1,1,[1]Feriados!$A$2:$A$112)</f>
        <v>46932</v>
      </c>
      <c r="O36" s="38">
        <f t="shared" si="6"/>
        <v>0</v>
      </c>
      <c r="P36" s="38">
        <f t="shared" si="7"/>
        <v>0</v>
      </c>
      <c r="Q36" s="53">
        <f t="shared" si="8"/>
        <v>0</v>
      </c>
      <c r="S36" s="36"/>
      <c r="T36" s="37"/>
      <c r="U36" s="107"/>
      <c r="V36" s="38"/>
      <c r="W36" s="39"/>
      <c r="X36" s="40"/>
      <c r="Y36" s="41"/>
    </row>
    <row r="37" spans="2:25" hidden="1" x14ac:dyDescent="0.25">
      <c r="B37" s="29">
        <f>+VDFB!B37</f>
        <v>0</v>
      </c>
      <c r="D37" s="68">
        <f t="shared" si="1"/>
        <v>22</v>
      </c>
      <c r="E37" s="65">
        <f t="shared" si="9"/>
        <v>46962</v>
      </c>
      <c r="F37" s="107">
        <f>MIN(I36,(VDFB!B37-G37))</f>
        <v>0</v>
      </c>
      <c r="G37" s="39">
        <f t="shared" si="2"/>
        <v>0</v>
      </c>
      <c r="H37" s="39">
        <f t="shared" si="13"/>
        <v>0</v>
      </c>
      <c r="I37" s="39">
        <f t="shared" si="11"/>
        <v>0</v>
      </c>
      <c r="J37" s="66">
        <f t="shared" si="3"/>
        <v>0</v>
      </c>
      <c r="K37" s="67">
        <f t="shared" si="12"/>
        <v>0</v>
      </c>
      <c r="L37" s="67">
        <f t="shared" si="5"/>
        <v>658939.94999999995</v>
      </c>
      <c r="N37" s="54">
        <f>+WORKDAY(E37-1,1,[1]Feriados!$A$2:$A$112)</f>
        <v>46962</v>
      </c>
      <c r="O37" s="38">
        <f t="shared" si="6"/>
        <v>0</v>
      </c>
      <c r="P37" s="38">
        <f t="shared" si="7"/>
        <v>0</v>
      </c>
      <c r="Q37" s="53">
        <f t="shared" si="8"/>
        <v>0</v>
      </c>
      <c r="S37" s="36"/>
      <c r="T37" s="37"/>
      <c r="U37" s="107"/>
      <c r="V37" s="38"/>
      <c r="W37" s="39"/>
      <c r="X37" s="40"/>
      <c r="Y37" s="41"/>
    </row>
    <row r="38" spans="2:25" hidden="1" x14ac:dyDescent="0.25">
      <c r="B38" s="29">
        <f>+VDFB!B38</f>
        <v>0</v>
      </c>
      <c r="D38" s="68">
        <f t="shared" si="1"/>
        <v>23</v>
      </c>
      <c r="E38" s="65">
        <f t="shared" si="9"/>
        <v>46993</v>
      </c>
      <c r="F38" s="107">
        <f>MIN(I37,(VDFB!B38-G38))</f>
        <v>0</v>
      </c>
      <c r="G38" s="39">
        <f t="shared" si="2"/>
        <v>0</v>
      </c>
      <c r="H38" s="39">
        <f t="shared" si="13"/>
        <v>0</v>
      </c>
      <c r="I38" s="39">
        <f t="shared" si="11"/>
        <v>0</v>
      </c>
      <c r="J38" s="66">
        <f t="shared" si="3"/>
        <v>0</v>
      </c>
      <c r="K38" s="67">
        <f t="shared" si="12"/>
        <v>0</v>
      </c>
      <c r="L38" s="67">
        <f t="shared" si="5"/>
        <v>658939.94999999995</v>
      </c>
      <c r="N38" s="54">
        <f>+WORKDAY(E38-1,1,[1]Feriados!$A$2:$A$112)</f>
        <v>46993</v>
      </c>
      <c r="O38" s="38">
        <f t="shared" si="6"/>
        <v>0</v>
      </c>
      <c r="P38" s="38">
        <f t="shared" si="7"/>
        <v>0</v>
      </c>
      <c r="Q38" s="53">
        <f t="shared" si="8"/>
        <v>0</v>
      </c>
      <c r="S38" s="36"/>
      <c r="T38" s="37"/>
      <c r="U38" s="107"/>
      <c r="V38" s="38"/>
      <c r="W38" s="39"/>
      <c r="X38" s="40"/>
      <c r="Y38" s="41"/>
    </row>
    <row r="39" spans="2:25" hidden="1" x14ac:dyDescent="0.25">
      <c r="B39" s="29">
        <f>+VDFB!B39</f>
        <v>0</v>
      </c>
      <c r="D39" s="68">
        <f t="shared" si="1"/>
        <v>24</v>
      </c>
      <c r="E39" s="65">
        <f t="shared" si="9"/>
        <v>47024</v>
      </c>
      <c r="F39" s="107">
        <f>MIN(I38,(VDFB!B39-G39))</f>
        <v>0</v>
      </c>
      <c r="G39" s="39">
        <f t="shared" si="2"/>
        <v>0</v>
      </c>
      <c r="H39" s="39">
        <f t="shared" si="13"/>
        <v>0</v>
      </c>
      <c r="I39" s="39">
        <f t="shared" si="11"/>
        <v>0</v>
      </c>
      <c r="J39" s="66">
        <f t="shared" si="3"/>
        <v>0</v>
      </c>
      <c r="K39" s="67">
        <f t="shared" si="12"/>
        <v>0</v>
      </c>
      <c r="L39" s="67">
        <f t="shared" si="5"/>
        <v>658939.94999999995</v>
      </c>
      <c r="N39" s="54">
        <f>+WORKDAY(E39-1,1,[1]Feriados!$A$2:$A$112)</f>
        <v>47024</v>
      </c>
      <c r="O39" s="38">
        <f t="shared" si="6"/>
        <v>0</v>
      </c>
      <c r="P39" s="38">
        <f t="shared" si="7"/>
        <v>0</v>
      </c>
      <c r="Q39" s="53">
        <f t="shared" si="8"/>
        <v>0</v>
      </c>
      <c r="S39" s="36"/>
      <c r="T39" s="37"/>
      <c r="U39" s="107"/>
      <c r="V39" s="38"/>
      <c r="W39" s="39"/>
      <c r="X39" s="40"/>
      <c r="Y39" s="41"/>
    </row>
    <row r="40" spans="2:25" hidden="1" x14ac:dyDescent="0.25">
      <c r="B40" s="29">
        <f>+VDFB!B40</f>
        <v>0</v>
      </c>
      <c r="D40" s="68">
        <f t="shared" si="1"/>
        <v>25</v>
      </c>
      <c r="E40" s="65">
        <f t="shared" si="9"/>
        <v>47054</v>
      </c>
      <c r="F40" s="107">
        <f>MIN(I39,(VDFB!B40-G40))</f>
        <v>0</v>
      </c>
      <c r="G40" s="39">
        <f t="shared" si="2"/>
        <v>0</v>
      </c>
      <c r="H40" s="39">
        <f t="shared" si="13"/>
        <v>0</v>
      </c>
      <c r="I40" s="39">
        <f t="shared" si="11"/>
        <v>0</v>
      </c>
      <c r="J40" s="66">
        <f t="shared" si="3"/>
        <v>0</v>
      </c>
      <c r="K40" s="67">
        <f t="shared" si="12"/>
        <v>0</v>
      </c>
      <c r="L40" s="67">
        <f t="shared" si="5"/>
        <v>658939.94999999995</v>
      </c>
      <c r="N40" s="54">
        <f>+WORKDAY(E40-1,1,[1]Feriados!$A$2:$A$112)</f>
        <v>47056</v>
      </c>
      <c r="O40" s="38">
        <f t="shared" si="6"/>
        <v>0</v>
      </c>
      <c r="P40" s="38">
        <f t="shared" si="7"/>
        <v>0</v>
      </c>
      <c r="Q40" s="53">
        <f t="shared" si="8"/>
        <v>0</v>
      </c>
      <c r="S40" s="36"/>
      <c r="T40" s="37"/>
      <c r="U40" s="107"/>
      <c r="V40" s="38"/>
      <c r="W40" s="39"/>
      <c r="X40" s="40"/>
      <c r="Y40" s="41"/>
    </row>
    <row r="41" spans="2:25" hidden="1" x14ac:dyDescent="0.25">
      <c r="B41" s="29">
        <f>+VDFB!B41</f>
        <v>0</v>
      </c>
      <c r="D41" s="68">
        <f t="shared" si="1"/>
        <v>26</v>
      </c>
      <c r="E41" s="65">
        <f t="shared" si="9"/>
        <v>47085</v>
      </c>
      <c r="F41" s="107">
        <f>MIN(I40,(VDFB!B41-G41))</f>
        <v>0</v>
      </c>
      <c r="G41" s="39">
        <f t="shared" si="2"/>
        <v>0</v>
      </c>
      <c r="H41" s="39">
        <f t="shared" si="13"/>
        <v>0</v>
      </c>
      <c r="I41" s="39">
        <f t="shared" si="11"/>
        <v>0</v>
      </c>
      <c r="J41" s="66">
        <f t="shared" si="3"/>
        <v>0</v>
      </c>
      <c r="K41" s="67">
        <f t="shared" si="12"/>
        <v>0</v>
      </c>
      <c r="L41" s="67">
        <f t="shared" si="5"/>
        <v>658939.94999999995</v>
      </c>
      <c r="N41" s="54">
        <f>+WORKDAY(E41-1,1,[1]Feriados!$A$2:$A$112)</f>
        <v>47085</v>
      </c>
      <c r="O41" s="38">
        <f t="shared" si="6"/>
        <v>0</v>
      </c>
      <c r="P41" s="38">
        <f t="shared" si="7"/>
        <v>0</v>
      </c>
      <c r="Q41" s="53">
        <f t="shared" si="8"/>
        <v>0</v>
      </c>
      <c r="S41" s="36"/>
      <c r="T41" s="37"/>
      <c r="U41" s="107"/>
      <c r="V41" s="38"/>
      <c r="W41" s="39"/>
      <c r="X41" s="40"/>
      <c r="Y41" s="41"/>
    </row>
    <row r="42" spans="2:25" x14ac:dyDescent="0.25">
      <c r="B42" s="29">
        <f>+VDFB!B42</f>
        <v>0</v>
      </c>
      <c r="D42" s="68">
        <f t="shared" si="1"/>
        <v>27</v>
      </c>
      <c r="E42" s="65">
        <f t="shared" si="9"/>
        <v>47115</v>
      </c>
      <c r="F42" s="107">
        <f>MIN(I41,(VDFB!B42-G42))</f>
        <v>0</v>
      </c>
      <c r="G42" s="39">
        <f t="shared" si="2"/>
        <v>0</v>
      </c>
      <c r="H42" s="39">
        <f t="shared" si="13"/>
        <v>0</v>
      </c>
      <c r="I42" s="39">
        <f t="shared" si="11"/>
        <v>0</v>
      </c>
      <c r="J42" s="66">
        <f t="shared" si="3"/>
        <v>0</v>
      </c>
      <c r="K42" s="67">
        <f t="shared" si="12"/>
        <v>0</v>
      </c>
      <c r="L42" s="67">
        <f t="shared" si="5"/>
        <v>658939.94999999995</v>
      </c>
      <c r="N42" s="54">
        <f>+WORKDAY(E42-1,1,[1]Feriados!$A$2:$A$112)</f>
        <v>47115</v>
      </c>
      <c r="O42" s="38">
        <f t="shared" si="6"/>
        <v>0</v>
      </c>
      <c r="P42" s="38">
        <f t="shared" si="7"/>
        <v>0</v>
      </c>
      <c r="Q42" s="53">
        <f t="shared" si="8"/>
        <v>0</v>
      </c>
      <c r="S42" s="43"/>
      <c r="T42" s="44"/>
      <c r="U42" s="45">
        <f>SUM(U16:U41)</f>
        <v>29286220</v>
      </c>
      <c r="V42" s="45">
        <f>SUM(V16:V41)</f>
        <v>4283110</v>
      </c>
      <c r="W42" s="45">
        <f>SUM(W16:W41)</f>
        <v>33569330</v>
      </c>
      <c r="X42" s="46"/>
      <c r="Y42" s="47">
        <f>+SUM(Y16:Y25)</f>
        <v>1</v>
      </c>
    </row>
    <row r="43" spans="2:25" x14ac:dyDescent="0.25">
      <c r="B43" s="29">
        <f>+VDFB!B43</f>
        <v>0</v>
      </c>
      <c r="D43" s="68">
        <f t="shared" si="1"/>
        <v>28</v>
      </c>
      <c r="E43" s="65">
        <f t="shared" si="9"/>
        <v>47146</v>
      </c>
      <c r="F43" s="107">
        <f>MIN(I42,(VDFB!B43-G43))</f>
        <v>0</v>
      </c>
      <c r="G43" s="39">
        <f t="shared" si="2"/>
        <v>0</v>
      </c>
      <c r="H43" s="39">
        <f t="shared" si="13"/>
        <v>0</v>
      </c>
      <c r="I43" s="39">
        <f t="shared" si="11"/>
        <v>0</v>
      </c>
      <c r="J43" s="66">
        <f t="shared" si="3"/>
        <v>0</v>
      </c>
      <c r="K43" s="67">
        <f t="shared" si="12"/>
        <v>0</v>
      </c>
      <c r="L43" s="67">
        <f t="shared" si="5"/>
        <v>658939.94999999995</v>
      </c>
      <c r="N43" s="54">
        <f>+WORKDAY(E43-1,1,[1]Feriados!$A$2:$A$112)</f>
        <v>47147</v>
      </c>
      <c r="O43" s="38">
        <f t="shared" si="6"/>
        <v>0</v>
      </c>
      <c r="P43" s="38">
        <f t="shared" si="7"/>
        <v>0</v>
      </c>
      <c r="Q43" s="53">
        <f t="shared" si="8"/>
        <v>0</v>
      </c>
      <c r="S43" s="62"/>
      <c r="T43" s="75"/>
    </row>
    <row r="44" spans="2:25" x14ac:dyDescent="0.25">
      <c r="B44" s="29">
        <f>+VDFB!B44</f>
        <v>0</v>
      </c>
      <c r="D44" s="68">
        <f t="shared" si="1"/>
        <v>29</v>
      </c>
      <c r="E44" s="65">
        <f t="shared" si="9"/>
        <v>47177</v>
      </c>
      <c r="F44" s="107">
        <f>MIN(I43,(VDFB!B44-G44))</f>
        <v>0</v>
      </c>
      <c r="G44" s="39">
        <f t="shared" si="2"/>
        <v>0</v>
      </c>
      <c r="H44" s="39">
        <f t="shared" si="13"/>
        <v>0</v>
      </c>
      <c r="I44" s="39">
        <f t="shared" si="11"/>
        <v>0</v>
      </c>
      <c r="J44" s="66">
        <f t="shared" si="3"/>
        <v>0</v>
      </c>
      <c r="K44" s="67">
        <f t="shared" si="12"/>
        <v>0</v>
      </c>
      <c r="L44" s="67">
        <f t="shared" si="5"/>
        <v>658939.94999999995</v>
      </c>
      <c r="N44" s="54">
        <f>+WORKDAY(E44-1,1,[1]Feriados!$A$2:$A$112)</f>
        <v>47177</v>
      </c>
      <c r="O44" s="38">
        <f t="shared" si="6"/>
        <v>0</v>
      </c>
      <c r="P44" s="38">
        <f t="shared" si="7"/>
        <v>0</v>
      </c>
      <c r="Q44" s="53">
        <f t="shared" si="8"/>
        <v>0</v>
      </c>
      <c r="S44" s="62"/>
      <c r="T44" s="75"/>
    </row>
    <row r="45" spans="2:25" x14ac:dyDescent="0.25">
      <c r="B45" s="29">
        <f>+VDFB!B45</f>
        <v>0</v>
      </c>
      <c r="D45" s="68">
        <f t="shared" si="1"/>
        <v>30</v>
      </c>
      <c r="E45" s="65">
        <f t="shared" si="9"/>
        <v>47205</v>
      </c>
      <c r="F45" s="107">
        <f>MIN(I44,(VDFB!B45-G45))</f>
        <v>0</v>
      </c>
      <c r="G45" s="39">
        <f t="shared" si="2"/>
        <v>0</v>
      </c>
      <c r="H45" s="39">
        <f t="shared" si="13"/>
        <v>0</v>
      </c>
      <c r="I45" s="39">
        <f t="shared" si="11"/>
        <v>0</v>
      </c>
      <c r="J45" s="66">
        <f t="shared" si="3"/>
        <v>0</v>
      </c>
      <c r="K45" s="67">
        <f t="shared" si="12"/>
        <v>0</v>
      </c>
      <c r="L45" s="67">
        <f t="shared" si="5"/>
        <v>658939.94999999995</v>
      </c>
      <c r="N45" s="54">
        <f>+WORKDAY(E45-1,1,[1]Feriados!$A$2:$A$112)</f>
        <v>47205</v>
      </c>
      <c r="O45" s="38">
        <f t="shared" si="6"/>
        <v>0</v>
      </c>
      <c r="P45" s="38">
        <f t="shared" si="7"/>
        <v>0</v>
      </c>
      <c r="Q45" s="53">
        <f t="shared" si="8"/>
        <v>0</v>
      </c>
      <c r="S45" s="62"/>
      <c r="T45" s="75"/>
    </row>
    <row r="46" spans="2:25" x14ac:dyDescent="0.25">
      <c r="B46" s="29">
        <f>+VDFB!B46</f>
        <v>0</v>
      </c>
      <c r="D46" s="68">
        <f t="shared" si="1"/>
        <v>31</v>
      </c>
      <c r="E46" s="65">
        <f t="shared" si="9"/>
        <v>47236</v>
      </c>
      <c r="F46" s="107">
        <f>MIN(I45,(VDFB!B46-G46))</f>
        <v>0</v>
      </c>
      <c r="G46" s="39">
        <f t="shared" si="2"/>
        <v>0</v>
      </c>
      <c r="H46" s="39">
        <f t="shared" si="13"/>
        <v>0</v>
      </c>
      <c r="I46" s="39">
        <f t="shared" si="11"/>
        <v>0</v>
      </c>
      <c r="J46" s="66">
        <f t="shared" si="3"/>
        <v>0</v>
      </c>
      <c r="K46" s="67">
        <f t="shared" si="12"/>
        <v>0</v>
      </c>
      <c r="L46" s="67">
        <f t="shared" si="5"/>
        <v>658939.94999999995</v>
      </c>
      <c r="N46" s="54">
        <f>+WORKDAY(E46-1,1,[1]Feriados!$A$2:$A$112)</f>
        <v>47238</v>
      </c>
      <c r="O46" s="38">
        <f t="shared" si="6"/>
        <v>0</v>
      </c>
      <c r="P46" s="38">
        <f t="shared" si="7"/>
        <v>0</v>
      </c>
      <c r="Q46" s="53">
        <f t="shared" si="8"/>
        <v>0</v>
      </c>
      <c r="S46" s="62"/>
      <c r="T46" s="75"/>
    </row>
    <row r="47" spans="2:25" x14ac:dyDescent="0.25">
      <c r="B47" s="29">
        <f>+VDFB!B47</f>
        <v>0</v>
      </c>
      <c r="D47" s="68">
        <f t="shared" si="1"/>
        <v>32</v>
      </c>
      <c r="E47" s="65">
        <f t="shared" si="9"/>
        <v>47266</v>
      </c>
      <c r="F47" s="107">
        <f>MIN(I46,(VDFB!B47-G47))</f>
        <v>0</v>
      </c>
      <c r="G47" s="39">
        <f t="shared" si="2"/>
        <v>0</v>
      </c>
      <c r="H47" s="39">
        <f t="shared" si="13"/>
        <v>0</v>
      </c>
      <c r="I47" s="39">
        <f t="shared" si="11"/>
        <v>0</v>
      </c>
      <c r="J47" s="66">
        <f t="shared" si="3"/>
        <v>0</v>
      </c>
      <c r="K47" s="67">
        <f t="shared" si="12"/>
        <v>0</v>
      </c>
      <c r="L47" s="67">
        <f t="shared" si="5"/>
        <v>658939.94999999995</v>
      </c>
      <c r="N47" s="54">
        <f>+WORKDAY(E47-1,1,[1]Feriados!$A$2:$A$112)</f>
        <v>47266</v>
      </c>
      <c r="O47" s="38">
        <f t="shared" si="6"/>
        <v>0</v>
      </c>
      <c r="P47" s="38">
        <f t="shared" si="7"/>
        <v>0</v>
      </c>
      <c r="Q47" s="53">
        <f t="shared" si="8"/>
        <v>0</v>
      </c>
      <c r="S47" s="62"/>
      <c r="T47" s="75"/>
    </row>
    <row r="48" spans="2:25" x14ac:dyDescent="0.25">
      <c r="B48" s="29">
        <f>+VDFB!B48</f>
        <v>0</v>
      </c>
      <c r="D48" s="68">
        <f t="shared" si="1"/>
        <v>33</v>
      </c>
      <c r="E48" s="65">
        <f t="shared" si="9"/>
        <v>47297</v>
      </c>
      <c r="F48" s="107">
        <f>MIN(I47,(VDFB!B48-G48))</f>
        <v>0</v>
      </c>
      <c r="G48" s="39">
        <f t="shared" si="2"/>
        <v>0</v>
      </c>
      <c r="H48" s="39">
        <f t="shared" si="13"/>
        <v>0</v>
      </c>
      <c r="I48" s="39">
        <f t="shared" si="11"/>
        <v>0</v>
      </c>
      <c r="J48" s="66">
        <f t="shared" si="3"/>
        <v>0</v>
      </c>
      <c r="K48" s="67">
        <f t="shared" si="12"/>
        <v>0</v>
      </c>
      <c r="L48" s="67">
        <f t="shared" si="5"/>
        <v>658939.94999999995</v>
      </c>
      <c r="N48" s="54">
        <f>+WORKDAY(E48-1,1,[1]Feriados!$A$2:$A$112)</f>
        <v>47297</v>
      </c>
      <c r="O48" s="38">
        <f t="shared" si="6"/>
        <v>0</v>
      </c>
      <c r="P48" s="38">
        <f t="shared" si="7"/>
        <v>0</v>
      </c>
      <c r="Q48" s="53">
        <f t="shared" si="8"/>
        <v>0</v>
      </c>
      <c r="S48" s="62"/>
      <c r="T48" s="75"/>
    </row>
    <row r="49" spans="2:20" x14ac:dyDescent="0.25">
      <c r="B49" s="29">
        <f>+VDFB!B49</f>
        <v>0</v>
      </c>
      <c r="D49" s="68">
        <f t="shared" si="1"/>
        <v>34</v>
      </c>
      <c r="E49" s="65">
        <f t="shared" si="9"/>
        <v>47327</v>
      </c>
      <c r="F49" s="107">
        <f>MIN(I48,(VDFB!B49-G49))</f>
        <v>0</v>
      </c>
      <c r="G49" s="39">
        <f t="shared" si="2"/>
        <v>0</v>
      </c>
      <c r="H49" s="39">
        <f t="shared" si="13"/>
        <v>0</v>
      </c>
      <c r="I49" s="39">
        <f t="shared" si="11"/>
        <v>0</v>
      </c>
      <c r="J49" s="66">
        <f t="shared" si="3"/>
        <v>0</v>
      </c>
      <c r="K49" s="67">
        <f t="shared" si="12"/>
        <v>0</v>
      </c>
      <c r="L49" s="67">
        <f t="shared" si="5"/>
        <v>658939.94999999995</v>
      </c>
      <c r="N49" s="54">
        <f>+WORKDAY(E49-1,1,[1]Feriados!$A$2:$A$112)</f>
        <v>47329</v>
      </c>
      <c r="O49" s="38">
        <f t="shared" si="6"/>
        <v>0</v>
      </c>
      <c r="P49" s="38">
        <f t="shared" si="7"/>
        <v>0</v>
      </c>
      <c r="Q49" s="53">
        <f t="shared" si="8"/>
        <v>0</v>
      </c>
      <c r="S49" s="62"/>
      <c r="T49" s="75"/>
    </row>
    <row r="50" spans="2:20" x14ac:dyDescent="0.25">
      <c r="B50" s="29"/>
      <c r="D50" s="68">
        <f t="shared" si="1"/>
        <v>35</v>
      </c>
      <c r="E50" s="65">
        <f t="shared" si="9"/>
        <v>47358</v>
      </c>
      <c r="F50" s="107">
        <f>MIN(I49,(VDFB!B50-G50))</f>
        <v>0</v>
      </c>
      <c r="G50" s="39">
        <f t="shared" si="2"/>
        <v>0</v>
      </c>
      <c r="H50" s="39">
        <f t="shared" si="13"/>
        <v>0</v>
      </c>
      <c r="I50" s="39">
        <f t="shared" si="11"/>
        <v>0</v>
      </c>
      <c r="J50" s="66">
        <f t="shared" si="3"/>
        <v>0</v>
      </c>
      <c r="K50" s="67">
        <f t="shared" si="12"/>
        <v>0</v>
      </c>
      <c r="L50" s="67">
        <f t="shared" si="5"/>
        <v>658939.94999999995</v>
      </c>
      <c r="N50" s="54">
        <f>+WORKDAY(E50-1,1,[1]Feriados!$A$2:$A$112)</f>
        <v>47358</v>
      </c>
      <c r="O50" s="38">
        <f t="shared" si="6"/>
        <v>0</v>
      </c>
      <c r="P50" s="38">
        <f t="shared" si="7"/>
        <v>0</v>
      </c>
      <c r="Q50" s="53">
        <f t="shared" si="8"/>
        <v>0</v>
      </c>
      <c r="S50" s="62"/>
      <c r="T50" s="75"/>
    </row>
    <row r="51" spans="2:20" x14ac:dyDescent="0.25">
      <c r="D51" s="43"/>
      <c r="E51" s="69"/>
      <c r="F51" s="45">
        <f>SUM(F16:F50)</f>
        <v>29286220</v>
      </c>
      <c r="G51" s="45">
        <f>SUM(G16:G50)</f>
        <v>4363951.8447916666</v>
      </c>
      <c r="H51" s="45">
        <f>SUM(H16:H50)</f>
        <v>33650171.844791666</v>
      </c>
      <c r="I51" s="45"/>
      <c r="J51" s="70">
        <f>SUM(J16:J50)</f>
        <v>1</v>
      </c>
      <c r="K51" s="71">
        <f>SUM(K16:K50)</f>
        <v>658939.94999999995</v>
      </c>
      <c r="L51" s="69"/>
      <c r="N51" s="55"/>
      <c r="O51" s="56"/>
      <c r="P51" s="57">
        <f>+SUM(P16:P50)</f>
        <v>29087689.591671363</v>
      </c>
      <c r="Q51" s="57">
        <f>SUM(Q16:Q50)</f>
        <v>15432635.311136751</v>
      </c>
    </row>
    <row r="52" spans="2:20" x14ac:dyDescent="0.25">
      <c r="N52" s="5"/>
      <c r="O52" s="58" t="s">
        <v>40</v>
      </c>
      <c r="P52" s="59"/>
      <c r="Q52" s="60">
        <f>+Q51/P51</f>
        <v>0.53055555555555556</v>
      </c>
    </row>
    <row r="53" spans="2:20" x14ac:dyDescent="0.25">
      <c r="N53" s="5"/>
      <c r="O53" s="58" t="s">
        <v>41</v>
      </c>
      <c r="P53" s="59"/>
      <c r="Q53" s="61">
        <f>+XIRR(O14:O50,N14:N50)</f>
        <v>0.31603532433509818</v>
      </c>
    </row>
    <row r="59" spans="2:20" x14ac:dyDescent="0.25">
      <c r="E59" s="123" t="s">
        <v>63</v>
      </c>
      <c r="F59" s="123"/>
      <c r="G59" s="123" t="s">
        <v>61</v>
      </c>
      <c r="H59" s="123"/>
    </row>
    <row r="60" spans="2:20" x14ac:dyDescent="0.25">
      <c r="E60" s="62">
        <f>+VDFB!D58</f>
        <v>46132</v>
      </c>
      <c r="F60">
        <v>0</v>
      </c>
      <c r="G60" s="62">
        <f>+T15</f>
        <v>46132</v>
      </c>
      <c r="H60" s="75">
        <f>+-D6*Calculadora!L31</f>
        <v>-29145804.65173164</v>
      </c>
    </row>
    <row r="61" spans="2:20" x14ac:dyDescent="0.25">
      <c r="E61" s="62">
        <f>+VDFB!D59</f>
        <v>46323</v>
      </c>
      <c r="F61" s="75">
        <f>+O16</f>
        <v>33650171.844791666</v>
      </c>
      <c r="G61" s="62">
        <f>+T16</f>
        <v>46323</v>
      </c>
      <c r="H61" s="75">
        <f>+W16</f>
        <v>33569330</v>
      </c>
    </row>
    <row r="62" spans="2:20" x14ac:dyDescent="0.25">
      <c r="E62" s="62">
        <f>+VDFB!D60</f>
        <v>46354</v>
      </c>
      <c r="F62">
        <v>0</v>
      </c>
      <c r="G62" s="62"/>
      <c r="H62" s="75"/>
    </row>
    <row r="63" spans="2:20" x14ac:dyDescent="0.25">
      <c r="E63" s="62"/>
    </row>
    <row r="64" spans="2:20" x14ac:dyDescent="0.25">
      <c r="E64" s="62"/>
    </row>
    <row r="65" spans="5:6" x14ac:dyDescent="0.25">
      <c r="E65" s="62"/>
    </row>
    <row r="66" spans="5:6" x14ac:dyDescent="0.25">
      <c r="E66" s="62"/>
    </row>
    <row r="69" spans="5:6" x14ac:dyDescent="0.25">
      <c r="E69" s="62"/>
    </row>
    <row r="70" spans="5:6" x14ac:dyDescent="0.25">
      <c r="E70" s="62"/>
    </row>
    <row r="71" spans="5:6" x14ac:dyDescent="0.25">
      <c r="E71" s="62"/>
    </row>
    <row r="72" spans="5:6" x14ac:dyDescent="0.25">
      <c r="E72" s="62"/>
    </row>
    <row r="73" spans="5:6" x14ac:dyDescent="0.25">
      <c r="E73" s="62"/>
    </row>
    <row r="74" spans="5:6" x14ac:dyDescent="0.25">
      <c r="E74" s="62"/>
      <c r="F74" s="75"/>
    </row>
    <row r="75" spans="5:6" x14ac:dyDescent="0.25">
      <c r="E75" s="62"/>
      <c r="F75" s="75"/>
    </row>
  </sheetData>
  <sheetProtection algorithmName="SHA-512" hashValue="uHmcN2UshcFinuEcHk760K9LPGNngodCz/XSdi2Qd/AxTmVdSlNbFYtSgYEsJBV9d31mBVqxrJmBZBxI+YotDQ==" saltValue="TGaCH6omnG95143nJNcxCA==" spinCount="100000" sheet="1" objects="1" scenarios="1"/>
  <mergeCells count="13">
    <mergeCell ref="S13:Y13"/>
    <mergeCell ref="E59:F59"/>
    <mergeCell ref="G59:H59"/>
    <mergeCell ref="B6:C6"/>
    <mergeCell ref="F6:G6"/>
    <mergeCell ref="N13:Q13"/>
    <mergeCell ref="J6:K6"/>
    <mergeCell ref="J7:K7"/>
    <mergeCell ref="J8:K8"/>
    <mergeCell ref="J9:K9"/>
    <mergeCell ref="J10:K10"/>
    <mergeCell ref="J11:K11"/>
    <mergeCell ref="D13:L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0F97-10D6-4A84-8D37-BB5DB5A56DE8}">
  <dimension ref="A1:A118"/>
  <sheetViews>
    <sheetView topLeftCell="A77" workbookViewId="0">
      <selection sqref="A1:A118"/>
    </sheetView>
  </sheetViews>
  <sheetFormatPr baseColWidth="10" defaultRowHeight="15" x14ac:dyDescent="0.25"/>
  <sheetData>
    <row r="1" spans="1:1" x14ac:dyDescent="0.25">
      <c r="A1" t="s">
        <v>42</v>
      </c>
    </row>
    <row r="2" spans="1:1" x14ac:dyDescent="0.25">
      <c r="A2" s="62">
        <v>44562</v>
      </c>
    </row>
    <row r="3" spans="1:1" x14ac:dyDescent="0.25">
      <c r="A3" s="62">
        <v>44620</v>
      </c>
    </row>
    <row r="4" spans="1:1" x14ac:dyDescent="0.25">
      <c r="A4" s="62">
        <v>44621</v>
      </c>
    </row>
    <row r="5" spans="1:1" x14ac:dyDescent="0.25">
      <c r="A5" s="62">
        <v>44644</v>
      </c>
    </row>
    <row r="6" spans="1:1" x14ac:dyDescent="0.25">
      <c r="A6" s="62">
        <v>44653</v>
      </c>
    </row>
    <row r="7" spans="1:1" x14ac:dyDescent="0.25">
      <c r="A7" s="62">
        <v>44665</v>
      </c>
    </row>
    <row r="8" spans="1:1" x14ac:dyDescent="0.25">
      <c r="A8" s="62">
        <v>44666</v>
      </c>
    </row>
    <row r="9" spans="1:1" x14ac:dyDescent="0.25">
      <c r="A9" s="62">
        <v>44682</v>
      </c>
    </row>
    <row r="10" spans="1:1" x14ac:dyDescent="0.25">
      <c r="A10" s="62">
        <v>44699</v>
      </c>
    </row>
    <row r="11" spans="1:1" x14ac:dyDescent="0.25">
      <c r="A11" s="62">
        <v>44706</v>
      </c>
    </row>
    <row r="12" spans="1:1" x14ac:dyDescent="0.25">
      <c r="A12" s="62">
        <v>44729</v>
      </c>
    </row>
    <row r="13" spans="1:1" x14ac:dyDescent="0.25">
      <c r="A13" s="62">
        <v>44732</v>
      </c>
    </row>
    <row r="14" spans="1:1" x14ac:dyDescent="0.25">
      <c r="A14" s="62">
        <v>44751</v>
      </c>
    </row>
    <row r="15" spans="1:1" x14ac:dyDescent="0.25">
      <c r="A15" s="62">
        <v>44788</v>
      </c>
    </row>
    <row r="16" spans="1:1" x14ac:dyDescent="0.25">
      <c r="A16" s="62">
        <v>44841</v>
      </c>
    </row>
    <row r="17" spans="1:1" x14ac:dyDescent="0.25">
      <c r="A17" s="62">
        <v>44844</v>
      </c>
    </row>
    <row r="18" spans="1:1" x14ac:dyDescent="0.25">
      <c r="A18" s="62">
        <v>44885</v>
      </c>
    </row>
    <row r="19" spans="1:1" x14ac:dyDescent="0.25">
      <c r="A19" s="62">
        <v>44886</v>
      </c>
    </row>
    <row r="20" spans="1:1" x14ac:dyDescent="0.25">
      <c r="A20" s="62">
        <v>44903</v>
      </c>
    </row>
    <row r="21" spans="1:1" x14ac:dyDescent="0.25">
      <c r="A21" s="62">
        <v>44904</v>
      </c>
    </row>
    <row r="22" spans="1:1" x14ac:dyDescent="0.25">
      <c r="A22" s="62">
        <v>44920</v>
      </c>
    </row>
    <row r="23" spans="1:1" x14ac:dyDescent="0.25">
      <c r="A23" s="62">
        <v>44927</v>
      </c>
    </row>
    <row r="24" spans="1:1" x14ac:dyDescent="0.25">
      <c r="A24" s="62">
        <v>44977</v>
      </c>
    </row>
    <row r="25" spans="1:1" x14ac:dyDescent="0.25">
      <c r="A25" s="62">
        <v>44978</v>
      </c>
    </row>
    <row r="26" spans="1:1" x14ac:dyDescent="0.25">
      <c r="A26" s="62">
        <v>45009</v>
      </c>
    </row>
    <row r="27" spans="1:1" x14ac:dyDescent="0.25">
      <c r="A27" s="62">
        <v>45018</v>
      </c>
    </row>
    <row r="28" spans="1:1" x14ac:dyDescent="0.25">
      <c r="A28" s="62">
        <v>45022</v>
      </c>
    </row>
    <row r="29" spans="1:1" x14ac:dyDescent="0.25">
      <c r="A29" s="62">
        <v>45023</v>
      </c>
    </row>
    <row r="30" spans="1:1" x14ac:dyDescent="0.25">
      <c r="A30" s="62">
        <v>45047</v>
      </c>
    </row>
    <row r="31" spans="1:1" x14ac:dyDescent="0.25">
      <c r="A31" s="62">
        <v>45071</v>
      </c>
    </row>
    <row r="32" spans="1:1" x14ac:dyDescent="0.25">
      <c r="A32" s="62">
        <v>45072</v>
      </c>
    </row>
    <row r="33" spans="1:1" x14ac:dyDescent="0.25">
      <c r="A33" s="62">
        <v>45094</v>
      </c>
    </row>
    <row r="34" spans="1:1" x14ac:dyDescent="0.25">
      <c r="A34" s="62">
        <v>45096</v>
      </c>
    </row>
    <row r="35" spans="1:1" x14ac:dyDescent="0.25">
      <c r="A35" s="62">
        <v>45097</v>
      </c>
    </row>
    <row r="36" spans="1:1" x14ac:dyDescent="0.25">
      <c r="A36" s="62">
        <v>45116</v>
      </c>
    </row>
    <row r="37" spans="1:1" x14ac:dyDescent="0.25">
      <c r="A37" s="62">
        <v>45159</v>
      </c>
    </row>
    <row r="38" spans="1:1" x14ac:dyDescent="0.25">
      <c r="A38" s="62">
        <v>45212</v>
      </c>
    </row>
    <row r="39" spans="1:1" x14ac:dyDescent="0.25">
      <c r="A39" s="62">
        <v>45215</v>
      </c>
    </row>
    <row r="40" spans="1:1" x14ac:dyDescent="0.25">
      <c r="A40" s="62">
        <v>45250</v>
      </c>
    </row>
    <row r="41" spans="1:1" x14ac:dyDescent="0.25">
      <c r="A41" s="62">
        <v>45268</v>
      </c>
    </row>
    <row r="42" spans="1:1" x14ac:dyDescent="0.25">
      <c r="A42" s="62">
        <v>45285</v>
      </c>
    </row>
    <row r="43" spans="1:1" x14ac:dyDescent="0.25">
      <c r="A43" s="62">
        <v>45292</v>
      </c>
    </row>
    <row r="44" spans="1:1" x14ac:dyDescent="0.25">
      <c r="A44" s="62">
        <v>45334</v>
      </c>
    </row>
    <row r="45" spans="1:1" x14ac:dyDescent="0.25">
      <c r="A45" s="62">
        <v>45335</v>
      </c>
    </row>
    <row r="46" spans="1:1" x14ac:dyDescent="0.25">
      <c r="A46" s="62">
        <v>45375</v>
      </c>
    </row>
    <row r="47" spans="1:1" x14ac:dyDescent="0.25">
      <c r="A47" s="62">
        <v>45379</v>
      </c>
    </row>
    <row r="48" spans="1:1" x14ac:dyDescent="0.25">
      <c r="A48" s="62">
        <v>45380</v>
      </c>
    </row>
    <row r="49" spans="1:1" x14ac:dyDescent="0.25">
      <c r="A49" s="62">
        <v>45383</v>
      </c>
    </row>
    <row r="50" spans="1:1" x14ac:dyDescent="0.25">
      <c r="A50" s="62">
        <v>45384</v>
      </c>
    </row>
    <row r="51" spans="1:1" x14ac:dyDescent="0.25">
      <c r="A51" s="62">
        <v>45413</v>
      </c>
    </row>
    <row r="52" spans="1:1" x14ac:dyDescent="0.25">
      <c r="A52" s="62">
        <v>45437</v>
      </c>
    </row>
    <row r="53" spans="1:1" x14ac:dyDescent="0.25">
      <c r="A53" s="62">
        <v>45460</v>
      </c>
    </row>
    <row r="54" spans="1:1" x14ac:dyDescent="0.25">
      <c r="A54" s="62">
        <v>45463</v>
      </c>
    </row>
    <row r="55" spans="1:1" x14ac:dyDescent="0.25">
      <c r="A55" s="62">
        <v>45464</v>
      </c>
    </row>
    <row r="56" spans="1:1" x14ac:dyDescent="0.25">
      <c r="A56" s="62">
        <v>45482</v>
      </c>
    </row>
    <row r="57" spans="1:1" x14ac:dyDescent="0.25">
      <c r="A57" s="62">
        <v>45521</v>
      </c>
    </row>
    <row r="58" spans="1:1" x14ac:dyDescent="0.25">
      <c r="A58" s="62">
        <v>45576</v>
      </c>
    </row>
    <row r="59" spans="1:1" x14ac:dyDescent="0.25">
      <c r="A59" s="62">
        <v>45577</v>
      </c>
    </row>
    <row r="60" spans="1:1" x14ac:dyDescent="0.25">
      <c r="A60" s="62">
        <v>45602</v>
      </c>
    </row>
    <row r="61" spans="1:1" x14ac:dyDescent="0.25">
      <c r="A61" s="62">
        <v>45614</v>
      </c>
    </row>
    <row r="62" spans="1:1" x14ac:dyDescent="0.25">
      <c r="A62" s="62">
        <v>45634</v>
      </c>
    </row>
    <row r="63" spans="1:1" x14ac:dyDescent="0.25">
      <c r="A63" s="62">
        <v>45650</v>
      </c>
    </row>
    <row r="64" spans="1:1" x14ac:dyDescent="0.25">
      <c r="A64" s="62">
        <v>45651</v>
      </c>
    </row>
    <row r="65" spans="1:1" x14ac:dyDescent="0.25">
      <c r="A65" s="62">
        <v>45657</v>
      </c>
    </row>
    <row r="66" spans="1:1" x14ac:dyDescent="0.25">
      <c r="A66" s="62">
        <v>45658</v>
      </c>
    </row>
    <row r="67" spans="1:1" x14ac:dyDescent="0.25">
      <c r="A67" s="62">
        <v>45719</v>
      </c>
    </row>
    <row r="68" spans="1:1" x14ac:dyDescent="0.25">
      <c r="A68" s="62">
        <v>45720</v>
      </c>
    </row>
    <row r="69" spans="1:1" x14ac:dyDescent="0.25">
      <c r="A69" s="62">
        <v>45740</v>
      </c>
    </row>
    <row r="70" spans="1:1" x14ac:dyDescent="0.25">
      <c r="A70" s="62">
        <v>45749</v>
      </c>
    </row>
    <row r="71" spans="1:1" x14ac:dyDescent="0.25">
      <c r="A71" s="62">
        <v>45764</v>
      </c>
    </row>
    <row r="72" spans="1:1" x14ac:dyDescent="0.25">
      <c r="A72" s="62">
        <v>45765</v>
      </c>
    </row>
    <row r="73" spans="1:1" x14ac:dyDescent="0.25">
      <c r="A73" s="62">
        <v>45778</v>
      </c>
    </row>
    <row r="74" spans="1:1" x14ac:dyDescent="0.25">
      <c r="A74" s="62">
        <v>45779</v>
      </c>
    </row>
    <row r="75" spans="1:1" x14ac:dyDescent="0.25">
      <c r="A75" s="62">
        <v>45802</v>
      </c>
    </row>
    <row r="76" spans="1:1" x14ac:dyDescent="0.25">
      <c r="A76" s="62">
        <v>45824</v>
      </c>
    </row>
    <row r="77" spans="1:1" x14ac:dyDescent="0.25">
      <c r="A77" s="62">
        <v>45828</v>
      </c>
    </row>
    <row r="78" spans="1:1" x14ac:dyDescent="0.25">
      <c r="A78" s="62">
        <v>45847</v>
      </c>
    </row>
    <row r="79" spans="1:1" x14ac:dyDescent="0.25">
      <c r="A79" s="62">
        <v>45884</v>
      </c>
    </row>
    <row r="80" spans="1:1" x14ac:dyDescent="0.25">
      <c r="A80" s="62">
        <v>45886</v>
      </c>
    </row>
    <row r="81" spans="1:1" x14ac:dyDescent="0.25">
      <c r="A81" s="62">
        <v>45940</v>
      </c>
    </row>
    <row r="82" spans="1:1" x14ac:dyDescent="0.25">
      <c r="A82" s="62">
        <v>45982</v>
      </c>
    </row>
    <row r="83" spans="1:1" x14ac:dyDescent="0.25">
      <c r="A83" s="62">
        <v>45985</v>
      </c>
    </row>
    <row r="84" spans="1:1" x14ac:dyDescent="0.25">
      <c r="A84" s="62">
        <v>45999</v>
      </c>
    </row>
    <row r="85" spans="1:1" x14ac:dyDescent="0.25">
      <c r="A85" s="62">
        <v>46015</v>
      </c>
    </row>
    <row r="86" spans="1:1" x14ac:dyDescent="0.25">
      <c r="A86" s="62">
        <v>46016</v>
      </c>
    </row>
    <row r="87" spans="1:1" x14ac:dyDescent="0.25">
      <c r="A87" s="62">
        <v>46023</v>
      </c>
    </row>
    <row r="88" spans="1:1" x14ac:dyDescent="0.25">
      <c r="A88" s="62">
        <v>46069</v>
      </c>
    </row>
    <row r="89" spans="1:1" x14ac:dyDescent="0.25">
      <c r="A89" s="62">
        <v>46070</v>
      </c>
    </row>
    <row r="90" spans="1:1" x14ac:dyDescent="0.25">
      <c r="A90" s="62">
        <v>46105</v>
      </c>
    </row>
    <row r="91" spans="1:1" x14ac:dyDescent="0.25">
      <c r="A91" s="62">
        <v>46114</v>
      </c>
    </row>
    <row r="92" spans="1:1" x14ac:dyDescent="0.25">
      <c r="A92" s="62">
        <v>46115</v>
      </c>
    </row>
    <row r="93" spans="1:1" x14ac:dyDescent="0.25">
      <c r="A93" s="62">
        <v>46143</v>
      </c>
    </row>
    <row r="94" spans="1:1" x14ac:dyDescent="0.25">
      <c r="A94" s="62">
        <v>46167</v>
      </c>
    </row>
    <row r="95" spans="1:1" x14ac:dyDescent="0.25">
      <c r="A95" s="62">
        <v>46188</v>
      </c>
    </row>
    <row r="96" spans="1:1" x14ac:dyDescent="0.25">
      <c r="A96" s="62">
        <v>46193</v>
      </c>
    </row>
    <row r="97" spans="1:1" x14ac:dyDescent="0.25">
      <c r="A97" s="62">
        <v>46212</v>
      </c>
    </row>
    <row r="98" spans="1:1" x14ac:dyDescent="0.25">
      <c r="A98" s="62">
        <v>46251</v>
      </c>
    </row>
    <row r="99" spans="1:1" x14ac:dyDescent="0.25">
      <c r="A99" s="62">
        <v>46303</v>
      </c>
    </row>
    <row r="100" spans="1:1" x14ac:dyDescent="0.25">
      <c r="A100" s="62">
        <v>46349</v>
      </c>
    </row>
    <row r="101" spans="1:1" x14ac:dyDescent="0.25">
      <c r="A101" s="62">
        <v>46364</v>
      </c>
    </row>
    <row r="102" spans="1:1" x14ac:dyDescent="0.25">
      <c r="A102" s="62">
        <v>46381</v>
      </c>
    </row>
    <row r="103" spans="1:1" x14ac:dyDescent="0.25">
      <c r="A103" s="62">
        <v>46388</v>
      </c>
    </row>
    <row r="104" spans="1:1" x14ac:dyDescent="0.25">
      <c r="A104" s="62">
        <v>46426</v>
      </c>
    </row>
    <row r="105" spans="1:1" x14ac:dyDescent="0.25">
      <c r="A105" s="62">
        <v>46427</v>
      </c>
    </row>
    <row r="106" spans="1:1" x14ac:dyDescent="0.25">
      <c r="A106" s="62">
        <v>46470</v>
      </c>
    </row>
    <row r="107" spans="1:1" x14ac:dyDescent="0.25">
      <c r="A107" s="62">
        <v>46472</v>
      </c>
    </row>
    <row r="108" spans="1:1" x14ac:dyDescent="0.25">
      <c r="A108" s="62">
        <v>46479</v>
      </c>
    </row>
    <row r="109" spans="1:1" x14ac:dyDescent="0.25">
      <c r="A109" s="62">
        <v>46508</v>
      </c>
    </row>
    <row r="110" spans="1:1" x14ac:dyDescent="0.25">
      <c r="A110" s="62">
        <v>46532</v>
      </c>
    </row>
    <row r="111" spans="1:1" x14ac:dyDescent="0.25">
      <c r="A111" s="62">
        <v>46558</v>
      </c>
    </row>
    <row r="112" spans="1:1" x14ac:dyDescent="0.25">
      <c r="A112" s="62">
        <v>46559</v>
      </c>
    </row>
    <row r="113" spans="1:1" x14ac:dyDescent="0.25">
      <c r="A113" s="62">
        <v>46577</v>
      </c>
    </row>
    <row r="114" spans="1:1" x14ac:dyDescent="0.25">
      <c r="A114" s="62">
        <v>46615</v>
      </c>
    </row>
    <row r="115" spans="1:1" x14ac:dyDescent="0.25">
      <c r="A115" s="62">
        <v>46671</v>
      </c>
    </row>
    <row r="116" spans="1:1" x14ac:dyDescent="0.25">
      <c r="A116" s="62">
        <v>46711</v>
      </c>
    </row>
    <row r="117" spans="1:1" x14ac:dyDescent="0.25">
      <c r="A117" s="62">
        <v>46729</v>
      </c>
    </row>
    <row r="118" spans="1:1" x14ac:dyDescent="0.25">
      <c r="A118" s="62">
        <v>46746</v>
      </c>
    </row>
  </sheetData>
  <sheetProtection algorithmName="SHA-512" hashValue="lN3TQQpkwvzQksooxeLG0B3t44AtdmVWjOwE9081ekmfeGvr8ZJnETY01Ix2HVPYSZVO708A3VfktVNmvQwlTA==" saltValue="gZKGrubCfjpviwfHhMWpR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Calculadora</vt:lpstr>
      <vt:lpstr>Hoja1</vt:lpstr>
      <vt:lpstr>VDFA</vt:lpstr>
      <vt:lpstr>VDFB</vt:lpstr>
      <vt:lpstr>VDFC</vt:lpstr>
      <vt:lpstr>Feriados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Chavero, Enzo Agustin</dc:creator>
  <cp:lastModifiedBy>Maria Aranda</cp:lastModifiedBy>
  <dcterms:created xsi:type="dcterms:W3CDTF">2025-09-24T18:17:33Z</dcterms:created>
  <dcterms:modified xsi:type="dcterms:W3CDTF">2026-04-17T14:04:03Z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4f83e3-a79a-4c95-8cd9-fed013000022_Enabled">
    <vt:lpwstr>true</vt:lpwstr>
  </property>
  <property fmtid="{D5CDD505-2E9C-101B-9397-08002B2CF9AE}" pid="3" name="MSIP_Label_a84f83e3-a79a-4c95-8cd9-fed013000022_SetDate">
    <vt:lpwstr>2026-01-06T13:40:07Z</vt:lpwstr>
  </property>
  <property fmtid="{D5CDD505-2E9C-101B-9397-08002B2CF9AE}" pid="4" name="MSIP_Label_a84f83e3-a79a-4c95-8cd9-fed013000022_Method">
    <vt:lpwstr>Standard</vt:lpwstr>
  </property>
  <property fmtid="{D5CDD505-2E9C-101B-9397-08002B2CF9AE}" pid="5" name="MSIP_Label_a84f83e3-a79a-4c95-8cd9-fed013000022_Name">
    <vt:lpwstr>a84f83e3-a79a-4c95-8cd9-fed013000022</vt:lpwstr>
  </property>
  <property fmtid="{D5CDD505-2E9C-101B-9397-08002B2CF9AE}" pid="6" name="MSIP_Label_a84f83e3-a79a-4c95-8cd9-fed013000022_SiteId">
    <vt:lpwstr>eaa84f98-b226-4bcb-ad96-b886639a4ca2</vt:lpwstr>
  </property>
  <property fmtid="{D5CDD505-2E9C-101B-9397-08002B2CF9AE}" pid="7" name="MSIP_Label_a84f83e3-a79a-4c95-8cd9-fed013000022_ActionId">
    <vt:lpwstr>a81cb057-251d-4abd-8e2f-53158f8a348b</vt:lpwstr>
  </property>
  <property fmtid="{D5CDD505-2E9C-101B-9397-08002B2CF9AE}" pid="8" name="MSIP_Label_a84f83e3-a79a-4c95-8cd9-fed013000022_ContentBits">
    <vt:lpwstr>0</vt:lpwstr>
  </property>
  <property fmtid="{D5CDD505-2E9C-101B-9397-08002B2CF9AE}" pid="9" name="MSIP_Label_a84f83e3-a79a-4c95-8cd9-fed013000022_Tag">
    <vt:lpwstr>10, 3, 0, 1</vt:lpwstr>
  </property>
  <property fmtid="{D5CDD505-2E9C-101B-9397-08002B2CF9AE}" pid="10" name="MSIP_Label_a9378c09-609d-421b-88fc-485d53760b2b_Enabled">
    <vt:lpwstr>true</vt:lpwstr>
  </property>
  <property fmtid="{D5CDD505-2E9C-101B-9397-08002B2CF9AE}" pid="11" name="MSIP_Label_a9378c09-609d-421b-88fc-485d53760b2b_SetDate">
    <vt:lpwstr>2026-04-17T14:03:48Z</vt:lpwstr>
  </property>
  <property fmtid="{D5CDD505-2E9C-101B-9397-08002B2CF9AE}" pid="12" name="MSIP_Label_a9378c09-609d-421b-88fc-485d53760b2b_Method">
    <vt:lpwstr>Standard</vt:lpwstr>
  </property>
  <property fmtid="{D5CDD505-2E9C-101B-9397-08002B2CF9AE}" pid="13" name="MSIP_Label_a9378c09-609d-421b-88fc-485d53760b2b_Name">
    <vt:lpwstr>Etiqueta Estrictamente Secreto</vt:lpwstr>
  </property>
  <property fmtid="{D5CDD505-2E9C-101B-9397-08002B2CF9AE}" pid="14" name="MSIP_Label_a9378c09-609d-421b-88fc-485d53760b2b_SiteId">
    <vt:lpwstr>d80f880f-4d4b-48a4-b6d5-ee44b3cdf59b</vt:lpwstr>
  </property>
  <property fmtid="{D5CDD505-2E9C-101B-9397-08002B2CF9AE}" pid="15" name="MSIP_Label_a9378c09-609d-421b-88fc-485d53760b2b_ActionId">
    <vt:lpwstr>8cc9693a-cd1f-4e60-bb60-346d63f41c10</vt:lpwstr>
  </property>
  <property fmtid="{D5CDD505-2E9C-101B-9397-08002B2CF9AE}" pid="16" name="MSIP_Label_a9378c09-609d-421b-88fc-485d53760b2b_ContentBits">
    <vt:lpwstr>0</vt:lpwstr>
  </property>
  <property fmtid="{D5CDD505-2E9C-101B-9397-08002B2CF9AE}" pid="17" name="MSIP_Label_a9378c09-609d-421b-88fc-485d53760b2b_Tag">
    <vt:lpwstr>10, 3, 0, 1</vt:lpwstr>
  </property>
</Properties>
</file>