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Gerencia_Corporativa\Compartida\Estructuración\Provincia del Chaco\Letras\Programa 2025\3 Adicionales, 5 Adicionales, 10 Nueva y 11 Nueva\"/>
    </mc:Choice>
  </mc:AlternateContent>
  <xr:revisionPtr revIDLastSave="0" documentId="13_ncr:1_{2359AA7E-EB5C-4967-B320-FD4AB1CB213B}" xr6:coauthVersionLast="47" xr6:coauthVersionMax="47" xr10:uidLastSave="{00000000-0000-0000-0000-000000000000}"/>
  <bookViews>
    <workbookView xWindow="-120" yWindow="-120" windowWidth="29040" windowHeight="15840" tabRatio="811" xr2:uid="{6A7FE0D0-465A-494B-A3B2-BFA604C6B194}"/>
  </bookViews>
  <sheets>
    <sheet name="Resumen" sheetId="9" r:id="rId1"/>
    <sheet name="Clase 3 Reapertura" sheetId="4" r:id="rId2"/>
    <sheet name="Clase 8 Reapertura" sheetId="13" r:id="rId3"/>
    <sheet name="Clase 10" sheetId="12" r:id="rId4"/>
    <sheet name="Clase 11" sheetId="14" r:id="rId5"/>
    <sheet name="Feriados" sheetId="6" state="hidden" r:id="rId6"/>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9" l="1"/>
  <c r="J27" i="9"/>
  <c r="Q23" i="9" l="1"/>
  <c r="P23" i="9"/>
  <c r="N26" i="9" l="1"/>
  <c r="N27" i="9" s="1"/>
  <c r="D15" i="14" l="1"/>
  <c r="D13" i="14"/>
  <c r="D12" i="13"/>
  <c r="J13" i="9"/>
  <c r="D16" i="13"/>
  <c r="D15" i="13"/>
  <c r="K23" i="13" s="1"/>
  <c r="D17" i="12"/>
  <c r="D14" i="12"/>
  <c r="D13" i="12"/>
  <c r="Q19" i="9"/>
  <c r="D18" i="4"/>
  <c r="J21" i="4" s="1"/>
  <c r="D15" i="4"/>
  <c r="D14" i="4"/>
  <c r="K21" i="4" s="1"/>
  <c r="D13" i="4"/>
  <c r="T19" i="9"/>
  <c r="H22" i="14"/>
  <c r="D21" i="14"/>
  <c r="G21" i="14" s="1"/>
  <c r="K20" i="14"/>
  <c r="B12" i="14"/>
  <c r="H25" i="13"/>
  <c r="D24" i="13"/>
  <c r="D25" i="13" s="1"/>
  <c r="B11" i="13"/>
  <c r="K22" i="12"/>
  <c r="N12" i="9"/>
  <c r="B12" i="4"/>
  <c r="H24" i="12"/>
  <c r="D23" i="12"/>
  <c r="G23" i="12"/>
  <c r="B12" i="12"/>
  <c r="D22" i="4"/>
  <c r="D23" i="4"/>
  <c r="H23" i="4"/>
  <c r="G22" i="4"/>
  <c r="D24" i="12"/>
  <c r="Q12" i="9" l="1"/>
  <c r="D19" i="12" s="1"/>
  <c r="C23" i="12" s="1"/>
  <c r="J23" i="12" s="1"/>
  <c r="M36" i="9"/>
  <c r="D14" i="13"/>
  <c r="D20" i="13"/>
  <c r="J23" i="13" s="1"/>
  <c r="D22" i="14"/>
  <c r="G24" i="13"/>
  <c r="T12" i="9"/>
  <c r="Q13" i="9"/>
  <c r="D15" i="12"/>
  <c r="C22" i="4"/>
  <c r="I37" i="9" s="1"/>
  <c r="J22" i="12" l="1"/>
  <c r="E22" i="4"/>
  <c r="E23" i="4" s="1"/>
  <c r="J22" i="4"/>
  <c r="T13" i="9"/>
  <c r="D17" i="14"/>
  <c r="E23" i="12"/>
  <c r="E24" i="12" s="1"/>
  <c r="F22" i="4" l="1"/>
  <c r="J20" i="14"/>
  <c r="C21" i="14"/>
  <c r="E21" i="14" s="1"/>
  <c r="F23" i="12"/>
  <c r="F24" i="12" s="1"/>
  <c r="F23" i="4" l="1"/>
  <c r="K22" i="4"/>
  <c r="J21" i="14"/>
  <c r="K23" i="12"/>
  <c r="P22" i="4" l="1"/>
  <c r="J37" i="9" s="1"/>
  <c r="J28" i="9" s="1"/>
  <c r="O22" i="4"/>
  <c r="M25" i="4"/>
  <c r="H13" i="4" s="1"/>
  <c r="O23" i="12"/>
  <c r="M26" i="12"/>
  <c r="H15" i="12" s="1"/>
  <c r="F21" i="14"/>
  <c r="E22" i="14"/>
  <c r="L22" i="4" l="1"/>
  <c r="M22" i="4" s="1"/>
  <c r="M23" i="4" s="1"/>
  <c r="H14" i="4"/>
  <c r="J20" i="9" s="1"/>
  <c r="J19" i="9"/>
  <c r="F22" i="14"/>
  <c r="K21" i="14"/>
  <c r="H16" i="12"/>
  <c r="Q21" i="9" s="1"/>
  <c r="Q20" i="9"/>
  <c r="L23" i="12"/>
  <c r="L23" i="4"/>
  <c r="M23" i="12" l="1"/>
  <c r="M24" i="12" s="1"/>
  <c r="L24" i="12"/>
  <c r="O21" i="14"/>
  <c r="M24" i="14"/>
  <c r="H13" i="14" s="1"/>
  <c r="L21" i="14" s="1"/>
  <c r="M24" i="4"/>
  <c r="H15" i="4" s="1"/>
  <c r="H16" i="4" s="1"/>
  <c r="J21" i="9" s="1"/>
  <c r="D17" i="13"/>
  <c r="C24" i="13" s="1"/>
  <c r="E24" i="13" l="1"/>
  <c r="M37" i="9"/>
  <c r="L22" i="14"/>
  <c r="M21" i="14"/>
  <c r="M22" i="14" s="1"/>
  <c r="T20" i="9"/>
  <c r="H14" i="14"/>
  <c r="T21" i="9" s="1"/>
  <c r="J24" i="13"/>
  <c r="M25" i="12"/>
  <c r="H17" i="12" s="1"/>
  <c r="H18" i="12" s="1"/>
  <c r="H17" i="4"/>
  <c r="M23" i="14" l="1"/>
  <c r="H15" i="14" s="1"/>
  <c r="H16" i="14" s="1"/>
  <c r="H17" i="14" s="1"/>
  <c r="Q22" i="9"/>
  <c r="H19" i="12"/>
  <c r="E25" i="13"/>
  <c r="F24" i="13"/>
  <c r="K24" i="13" s="1"/>
  <c r="T22" i="9" l="1"/>
  <c r="F25" i="13"/>
  <c r="P24" i="13" l="1"/>
  <c r="N37" i="9" s="1"/>
  <c r="N28" i="9" s="1"/>
  <c r="O24" i="13"/>
  <c r="M27" i="13"/>
  <c r="H16" i="13" s="1"/>
  <c r="H17" i="13" s="1"/>
  <c r="L24" i="13" l="1"/>
  <c r="N20" i="9"/>
  <c r="N23" i="9" s="1"/>
  <c r="N19" i="9"/>
  <c r="M24" i="13" l="1"/>
  <c r="M25" i="13" s="1"/>
  <c r="L25" i="13"/>
  <c r="M26" i="13" l="1"/>
  <c r="H18" i="13" s="1"/>
  <c r="H19" i="13" s="1"/>
  <c r="N21" i="9" l="1"/>
  <c r="H20" i="13"/>
</calcChain>
</file>

<file path=xl/sharedStrings.xml><?xml version="1.0" encoding="utf-8"?>
<sst xmlns="http://schemas.openxmlformats.org/spreadsheetml/2006/main" count="174" uniqueCount="55">
  <si>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</si>
  <si>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</si>
  <si>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</si>
  <si>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</si>
  <si>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</si>
  <si>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</si>
  <si>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</si>
  <si>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</si>
  <si>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</si>
  <si>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</si>
  <si>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</si>
  <si>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</si>
  <si>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</si>
  <si>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</si>
  <si>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</si>
  <si>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</si>
  <si>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</si>
  <si>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</si>
  <si>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</si>
  <si>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</si>
  <si>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</si>
  <si>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</si>
  <si>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</si>
  <si>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</si>
  <si>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</si>
  <si>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</si>
  <si>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</si>
  <si>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</si>
  <si>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</si>
  <si>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Plazo (días remanentes)</t>
  </si>
  <si>
    <t>TIR Esperada</t>
  </si>
  <si>
    <t>Fecha de Ampliación y Liquidación</t>
  </si>
  <si>
    <t>Fecha de Emision Original</t>
  </si>
  <si>
    <t>Margen a Licitar</t>
  </si>
  <si>
    <t>Cupón</t>
  </si>
  <si>
    <t>Tamar</t>
  </si>
  <si>
    <t>Margen de Corte</t>
  </si>
  <si>
    <t>-</t>
  </si>
  <si>
    <t>Margen</t>
  </si>
  <si>
    <t>Letras Clase 10 (Tamar)</t>
  </si>
  <si>
    <t>Tasa Fija a Licitar</t>
  </si>
  <si>
    <t>Letras del Tesoro Clase 3 Adicionales</t>
  </si>
  <si>
    <t>Letras del Tesoro Clase 8 Adicionales</t>
  </si>
  <si>
    <t>Letras del Tesoro Clase 10</t>
  </si>
  <si>
    <t>Letras del Tesoro Clase 11</t>
  </si>
  <si>
    <t>Tasa Cupón a Licitar</t>
  </si>
  <si>
    <t>Letras Clase 11 (Tasa Fija)</t>
  </si>
  <si>
    <t>Letras Clase 3 Reapertura (Tasa Fija)</t>
  </si>
  <si>
    <t>Letras Clase 8 Reapertura (Tamar)</t>
  </si>
  <si>
    <t>Margen s/ Tamar</t>
  </si>
  <si>
    <t>Reales</t>
  </si>
  <si>
    <t>Margen sobre T solicitado</t>
  </si>
  <si>
    <t>Promedio Tamar Aplicable</t>
  </si>
  <si>
    <t>Ultima Tamar Publicada</t>
  </si>
  <si>
    <t>TNA Esperada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</si>
</sst>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00000%"/>
    <numFmt numFmtId="169" formatCode="0.000000%"/>
    <numFmt numFmtId="170" formatCode="_ * #,##0_ ;_ * \-#,##0_ ;_ * &quot;-&quot;??_ ;_ @_ "/>
    <numFmt numFmtId="171" formatCode="#,##0.00000"/>
    <numFmt numFmtId="172" formatCode="#,##0.00000000"/>
    <numFmt numFmtId="173" formatCode="[$-F800]dddd\,\ mmmm\ dd\,\ yyyy"/>
    <numFmt numFmtId="174" formatCode="&quot;$&quot;\ #,##0"/>
    <numFmt numFmtId="175" formatCode="0.000%"/>
    <numFmt numFmtId="176" formatCode="_-* #,##0.000_-;\-* #,##0.000_-;_-* &quot;-&quot;??_-;_-@_-"/>
    <numFmt numFmtId="177" formatCode="_-* #,##0.000_-;\-* #,##0.000_-;_-* &quot;-&quot;???_-;_-@_-"/>
    <numFmt numFmtId="178" formatCode="_ * #,##0.0000_ ;_ * \-#,##0.0000_ ;_ * &quot;-&quot;??_ ;_ @_ "/>
    <numFmt numFmtId="179" formatCode="#,##0.000000"/>
    <numFmt numFmtId="180" formatCode="#,##0.0000"/>
    <numFmt numFmtId="181" formatCode="#,##0.000"/>
  </numFmts>
  <fonts count="18"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4" tint="0.59999389629810485"/>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150">
    <xf numFmtId="0" fontId="0" fillId="0" borderId="0" xfId="0" applyAlignment="1"/>
    <xf numFmtId="0" fontId="9" fillId="0" borderId="0" xfId="0" applyFont="1" applyAlignment="1"/>
    <xf numFmtId="170" fontId="9" fillId="0" borderId="0" xfId="1" applyNumberFormat="1" applyFont="1" applyBorder="1" applyProtection="1"/>
    <xf numFmtId="0" fontId="10" fillId="0" borderId="0" xfId="0" applyFont="1" applyAlignment="1"/>
    <xf numFmtId="169"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70" fontId="9" fillId="0" borderId="0" xfId="1" applyNumberFormat="1" applyFont="1" applyAlignment="1" applyProtection="1">
      <alignment horizontal="left"/>
    </xf>
    <xf numFmtId="169"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2" fontId="9" fillId="0" borderId="0" xfId="3" applyNumberFormat="1" applyFont="1" applyProtection="1"/>
    <xf numFmtId="168"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7" fontId="9" fillId="0" borderId="0" xfId="6" applyNumberFormat="1" applyFont="1" applyProtection="1"/>
    <xf numFmtId="173"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70"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1" fontId="9" fillId="0" borderId="0" xfId="0" applyNumberFormat="1" applyFont="1" applyAlignment="1"/>
    <xf numFmtId="170"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3"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70" fontId="9" fillId="0" borderId="0" xfId="2" applyNumberFormat="1" applyFont="1" applyAlignment="1" applyProtection="1"/>
    <xf numFmtId="174" fontId="11" fillId="5" borderId="19" xfId="0" applyNumberFormat="1" applyFont="1" applyFill="1" applyBorder="1" applyAlignment="1" applyProtection="1">
      <alignment horizontal="right" vertical="center"/>
      <protection locked="0"/>
    </xf>
    <xf numFmtId="2" fontId="9" fillId="0" borderId="0" xfId="0" applyNumberFormat="1" applyFont="1" applyAlignment="1">
      <alignment horizontal="center"/>
    </xf>
    <xf numFmtId="14" fontId="9" fillId="0" borderId="5" xfId="0" applyNumberFormat="1" applyFont="1" applyBorder="1" applyAlignment="1">
      <alignment horizontal="right" vertical="center"/>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66" fontId="11" fillId="4" borderId="19" xfId="7" applyNumberFormat="1" applyFont="1" applyFill="1" applyBorder="1" applyAlignment="1" applyProtection="1">
      <alignment horizontal="center" vertical="center"/>
      <protection locked="0"/>
    </xf>
    <xf numFmtId="166" fontId="9" fillId="0" borderId="23" xfId="7" applyNumberFormat="1" applyFont="1" applyFill="1" applyBorder="1" applyAlignment="1" applyProtection="1">
      <alignment horizontal="center" vertical="center"/>
    </xf>
    <xf numFmtId="0" fontId="16" fillId="0" borderId="0" xfId="0" applyFont="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66" fontId="9" fillId="0" borderId="5" xfId="6" applyNumberFormat="1" applyFont="1" applyFill="1" applyBorder="1" applyAlignment="1" applyProtection="1">
      <alignment horizontal="right" vertical="center"/>
    </xf>
    <xf numFmtId="10" fontId="11" fillId="0" borderId="5" xfId="6" applyNumberFormat="1" applyFont="1" applyFill="1" applyBorder="1" applyAlignment="1" applyProtection="1">
      <alignment horizontal="right" vertical="center"/>
    </xf>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166" fontId="11" fillId="0" borderId="5" xfId="0" applyNumberFormat="1" applyFont="1" applyBorder="1" applyAlignment="1">
      <alignment horizontal="right"/>
    </xf>
    <xf numFmtId="165" fontId="9" fillId="0" borderId="0" xfId="1" applyFont="1" applyAlignment="1">
      <alignment vertical="center" wrapText="1"/>
    </xf>
    <xf numFmtId="176" fontId="10" fillId="0" borderId="0" xfId="0" applyNumberFormat="1" applyFont="1" applyAlignment="1">
      <alignment vertical="center" wrapText="1"/>
    </xf>
    <xf numFmtId="177" fontId="10" fillId="0" borderId="0" xfId="0" applyNumberFormat="1" applyFont="1" applyAlignment="1">
      <alignment vertical="center" wrapText="1"/>
    </xf>
    <xf numFmtId="178" fontId="9" fillId="0" borderId="0" xfId="1" applyNumberFormat="1" applyFont="1" applyAlignment="1" applyProtection="1">
      <alignment horizontal="left"/>
    </xf>
    <xf numFmtId="43" fontId="10" fillId="0" borderId="0" xfId="0" applyNumberFormat="1" applyFont="1" applyAlignment="1">
      <alignment vertical="center" wrapText="1"/>
    </xf>
    <xf numFmtId="165" fontId="10" fillId="0" borderId="0" xfId="1" applyFont="1" applyBorder="1" applyAlignment="1">
      <alignment vertical="center" wrapText="1"/>
    </xf>
    <xf numFmtId="175" fontId="10" fillId="0" borderId="6" xfId="6" applyNumberFormat="1" applyFont="1" applyBorder="1" applyAlignment="1">
      <alignment vertical="center" wrapText="1"/>
    </xf>
    <xf numFmtId="4" fontId="9" fillId="0" borderId="15" xfId="0" applyNumberFormat="1" applyFont="1" applyBorder="1" applyAlignment="1">
      <alignment vertical="center"/>
    </xf>
    <xf numFmtId="10" fontId="11" fillId="4" borderId="5" xfId="8" applyNumberFormat="1" applyFont="1" applyFill="1" applyBorder="1" applyAlignment="1" applyProtection="1">
      <alignment horizontal="center" vertical="center"/>
      <protection locked="0"/>
    </xf>
    <xf numFmtId="166" fontId="11" fillId="8" borderId="29" xfId="8" applyNumberFormat="1" applyFont="1" applyFill="1" applyBorder="1" applyAlignment="1" applyProtection="1">
      <alignment horizontal="center" vertical="center"/>
      <protection locked="0"/>
    </xf>
    <xf numFmtId="10" fontId="9" fillId="0" borderId="21" xfId="8" applyNumberFormat="1" applyFont="1" applyFill="1" applyBorder="1" applyAlignment="1" applyProtection="1">
      <alignment horizontal="center" vertical="center"/>
    </xf>
    <xf numFmtId="10" fontId="11" fillId="0" borderId="23" xfId="8" applyNumberFormat="1" applyFont="1" applyFill="1" applyBorder="1" applyAlignment="1" applyProtection="1">
      <alignment horizontal="center" vertical="center"/>
    </xf>
    <xf numFmtId="175" fontId="9" fillId="0" borderId="27" xfId="8" applyNumberFormat="1" applyFont="1" applyFill="1" applyBorder="1" applyAlignment="1" applyProtection="1">
      <alignment horizontal="center" vertical="center"/>
    </xf>
    <xf numFmtId="180" fontId="11" fillId="0" borderId="13" xfId="0" applyNumberFormat="1" applyFont="1" applyBorder="1" applyAlignment="1"/>
    <xf numFmtId="179" fontId="11" fillId="4" borderId="19" xfId="4" applyNumberFormat="1" applyFont="1" applyFill="1" applyBorder="1" applyAlignment="1" applyProtection="1">
      <alignment horizontal="center" vertical="center"/>
      <protection locked="0"/>
    </xf>
    <xf numFmtId="0" fontId="5" fillId="0" borderId="0" xfId="0" applyFont="1" applyAlignment="1">
      <alignment vertical="center" wrapText="1"/>
    </xf>
    <xf numFmtId="175" fontId="5" fillId="0" borderId="0" xfId="6" applyNumberFormat="1" applyFont="1" applyAlignment="1" applyProtection="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10" fontId="9" fillId="0" borderId="25" xfId="6" applyNumberFormat="1" applyFont="1" applyBorder="1" applyAlignment="1" applyProtection="1">
      <alignment horizontal="center" vertical="center"/>
    </xf>
    <xf numFmtId="10" fontId="9" fillId="0" borderId="23" xfId="6" applyNumberFormat="1" applyFont="1" applyBorder="1" applyAlignment="1" applyProtection="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0" fontId="11" fillId="0" borderId="26" xfId="4" applyFont="1" applyBorder="1" applyAlignment="1">
      <alignment horizontal="left" vertical="center"/>
    </xf>
    <xf numFmtId="4" fontId="9" fillId="0" borderId="27" xfId="4" applyNumberFormat="1" applyFont="1" applyBorder="1" applyAlignment="1">
      <alignment horizontal="center" vertical="center"/>
    </xf>
    <xf numFmtId="4" fontId="9" fillId="0" borderId="25" xfId="4" applyNumberFormat="1" applyFont="1" applyBorder="1" applyAlignment="1">
      <alignment horizontal="center" vertical="center"/>
    </xf>
    <xf numFmtId="0" fontId="11" fillId="0" borderId="4" xfId="5" applyFont="1" applyBorder="1" applyAlignment="1">
      <alignment horizontal="left" vertical="center"/>
    </xf>
    <xf numFmtId="0" fontId="11" fillId="0" borderId="28" xfId="4" applyFont="1" applyBorder="1" applyAlignment="1">
      <alignment horizontal="left" vertical="center"/>
    </xf>
    <xf numFmtId="0" fontId="11" fillId="0" borderId="26" xfId="5" applyFont="1" applyBorder="1" applyAlignment="1">
      <alignment horizontal="left" vertical="center"/>
    </xf>
    <xf numFmtId="179" fontId="9" fillId="0" borderId="27" xfId="4" applyNumberFormat="1" applyFont="1" applyBorder="1" applyAlignment="1">
      <alignment horizontal="center" vertical="center"/>
    </xf>
    <xf numFmtId="0" fontId="14" fillId="3" borderId="0" xfId="0" quotePrefix="1" applyFont="1" applyFill="1" applyAlignment="1"/>
    <xf numFmtId="10" fontId="11" fillId="5" borderId="0" xfId="0" applyNumberFormat="1" applyFont="1" applyFill="1" applyAlignment="1">
      <alignment horizontal="right"/>
    </xf>
    <xf numFmtId="0" fontId="15" fillId="0" borderId="0" xfId="9" applyFont="1" applyAlignment="1">
      <alignment horizontal="center" vertical="center" wrapText="1"/>
    </xf>
    <xf numFmtId="14" fontId="15" fillId="0" borderId="0" xfId="9" applyNumberFormat="1" applyFont="1" applyAlignment="1">
      <alignment horizontal="center" vertical="center" wrapText="1"/>
    </xf>
    <xf numFmtId="181" fontId="15" fillId="0" borderId="0" xfId="9" applyNumberFormat="1" applyFont="1" applyAlignment="1">
      <alignment horizontal="center" vertical="center" wrapText="1"/>
    </xf>
    <xf numFmtId="3" fontId="15" fillId="0" borderId="0" xfId="9" applyNumberFormat="1" applyFont="1" applyAlignment="1">
      <alignment horizontal="center" vertical="center" wrapText="1"/>
    </xf>
    <xf numFmtId="0" fontId="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5" fillId="0" borderId="0" xfId="0" applyFont="1" applyAlignment="1">
      <alignment horizontal="center" vertical="center" wrapText="1"/>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cellXfs>
  <cellStyles count="10">
    <cellStyle name="Millares" xfId="1" builtinId="3"/>
    <cellStyle name="Millares 2" xfId="2" xr:uid="{9D9BECA9-33DD-4F20-8CEE-406B0A5DB615}"/>
    <cellStyle name="Moneda" xfId="3" builtinId="4"/>
    <cellStyle name="Normal" xfId="0" builtinId="0"/>
    <cellStyle name="Normal 2" xfId="9" xr:uid="{81DEB0FF-2F77-40BD-B5C8-06BCF6B7F073}"/>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13494</xdr:colOff>
      <xdr:row>6</xdr:row>
      <xdr:rowOff>45243</xdr:rowOff>
    </xdr:from>
    <xdr:to>
      <xdr:col>16</xdr:col>
      <xdr:colOff>1651794</xdr:colOff>
      <xdr:row>7</xdr:row>
      <xdr:rowOff>95249</xdr:rowOff>
    </xdr:to>
    <xdr:sp macro="" textlink="">
      <xdr:nvSpPr>
        <xdr:cNvPr id="2" name="CuadroTexto 1">
          <a:extLst>
            <a:ext uri="{FF2B5EF4-FFF2-40B4-BE49-F238E27FC236}">
              <a16:creationId xmlns:a16="http://schemas.microsoft.com/office/drawing/2014/main" id="{D9A42B88-0588-1007-C59A-42897292B8B4}"/>
            </a:ext>
          </a:extLst>
        </xdr:cNvPr>
        <xdr:cNvSpPr txBox="1"/>
      </xdr:nvSpPr>
      <xdr:spPr>
        <a:xfrm>
          <a:off x="6371432" y="1259681"/>
          <a:ext cx="7650956" cy="240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sz="1400" b="1"/>
            <a:t>LETRAS DE TESORERÍA DE LA PROVINCIA DEL CHACO </a:t>
          </a:r>
        </a:p>
      </xdr:txBody>
    </xdr:sp>
    <xdr:clientData/>
  </xdr:twoCellAnchor>
  <xdr:twoCellAnchor>
    <xdr:from>
      <xdr:col>14</xdr:col>
      <xdr:colOff>257175</xdr:colOff>
      <xdr:row>0</xdr:row>
      <xdr:rowOff>157069</xdr:rowOff>
    </xdr:from>
    <xdr:to>
      <xdr:col>15</xdr:col>
      <xdr:colOff>819150</xdr:colOff>
      <xdr:row>6</xdr:row>
      <xdr:rowOff>6350</xdr:rowOff>
    </xdr:to>
    <xdr:pic>
      <xdr:nvPicPr>
        <xdr:cNvPr id="3" name="x_x_x_x_x_x_x_x_x_x_x_x_x_x_x_x_x_x_Imagen 11">
          <a:extLst>
            <a:ext uri="{FF2B5EF4-FFF2-40B4-BE49-F238E27FC236}">
              <a16:creationId xmlns:a16="http://schemas.microsoft.com/office/drawing/2014/main" id="{505DAFEF-68E8-E886-D968-B330DCA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57069"/>
          <a:ext cx="857250" cy="105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0</xdr:row>
      <xdr:rowOff>180975</xdr:rowOff>
    </xdr:from>
    <xdr:to>
      <xdr:col>14</xdr:col>
      <xdr:colOff>0</xdr:colOff>
      <xdr:row>6</xdr:row>
      <xdr:rowOff>104775</xdr:rowOff>
    </xdr:to>
    <xdr:pic>
      <xdr:nvPicPr>
        <xdr:cNvPr id="4" name="x_x_x_Imagen 2" descr="A blue and green text on a black background&#10;&#10;Description automatically generated">
          <a:extLst>
            <a:ext uri="{FF2B5EF4-FFF2-40B4-BE49-F238E27FC236}">
              <a16:creationId xmlns:a16="http://schemas.microsoft.com/office/drawing/2014/main" id="{B70FD895-33BE-05A8-7E61-3F0EAAEB1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0" y="180975"/>
          <a:ext cx="14287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596900</xdr:colOff>
      <xdr:row>2</xdr:row>
      <xdr:rowOff>82550</xdr:rowOff>
    </xdr:from>
    <xdr:to>
      <xdr:col>3</xdr:col>
      <xdr:colOff>352425</xdr:colOff>
      <xdr:row>8</xdr:row>
      <xdr:rowOff>152400</xdr:rowOff>
    </xdr:to>
    <xdr:pic>
      <xdr:nvPicPr>
        <xdr:cNvPr id="24673" name="Imagen 1" descr="Logotipo&#10;&#10;Descripción generada automáticamente">
          <a:extLst>
            <a:ext uri="{FF2B5EF4-FFF2-40B4-BE49-F238E27FC236}">
              <a16:creationId xmlns:a16="http://schemas.microsoft.com/office/drawing/2014/main" id="{24BEB3A0-F303-F03B-A0B3-44A98E35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82550"/>
          <a:ext cx="2114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6921500" y="1285344"/>
          <a:ext cx="4212451"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3 (REAPERTURA)</a:t>
          </a:r>
        </a:p>
        <a:p>
          <a:pPr algn="ctr"/>
          <a:r>
            <a:rPr lang="es-419" b="1"/>
            <a:t>Plazo: 182 días</a:t>
          </a:r>
        </a:p>
        <a:p>
          <a:pPr algn="ctr"/>
          <a:r>
            <a:rPr lang="es-419" b="1"/>
            <a:t> Vencimiento: 18 de</a:t>
          </a:r>
          <a:r>
            <a:rPr lang="es-419" b="1" baseline="0"/>
            <a:t> julio</a:t>
          </a:r>
          <a:r>
            <a:rPr lang="es-419" b="1"/>
            <a:t> de 2025</a:t>
          </a:r>
        </a:p>
        <a:p>
          <a:pPr algn="ctr"/>
          <a:r>
            <a:rPr lang="es-419" b="1"/>
            <a:t>Plazo Remanente: 35 días</a:t>
          </a:r>
          <a:r>
            <a:rPr lang="es-419"/>
            <a:t> </a:t>
          </a:r>
          <a:endParaRPr lang="es-419" sz="1100" b="1" i="0"/>
        </a:p>
      </xdr:txBody>
    </xdr:sp>
    <xdr:clientData/>
  </xdr:twoCellAnchor>
  <xdr:twoCellAnchor>
    <xdr:from>
      <xdr:col>9</xdr:col>
      <xdr:colOff>615950</xdr:colOff>
      <xdr:row>3</xdr:row>
      <xdr:rowOff>31750</xdr:rowOff>
    </xdr:from>
    <xdr:to>
      <xdr:col>9</xdr:col>
      <xdr:colOff>1225550</xdr:colOff>
      <xdr:row>8</xdr:row>
      <xdr:rowOff>76200</xdr:rowOff>
    </xdr:to>
    <xdr:pic>
      <xdr:nvPicPr>
        <xdr:cNvPr id="24675" name="x_x_x_x_x_x_x_x_x_x_x_x_x_x_x_Imagen 11">
          <a:extLst>
            <a:ext uri="{FF2B5EF4-FFF2-40B4-BE49-F238E27FC236}">
              <a16:creationId xmlns:a16="http://schemas.microsoft.com/office/drawing/2014/main" id="{FC87F6AE-9F75-1E38-914D-2ACE38753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400" y="222250"/>
          <a:ext cx="609600"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304800</xdr:colOff>
      <xdr:row>8</xdr:row>
      <xdr:rowOff>158750</xdr:rowOff>
    </xdr:to>
    <xdr:pic>
      <xdr:nvPicPr>
        <xdr:cNvPr id="23810" name="Imagen 1" descr="Logotipo&#10;&#10;Descripción generada automáticamente">
          <a:extLst>
            <a:ext uri="{FF2B5EF4-FFF2-40B4-BE49-F238E27FC236}">
              <a16:creationId xmlns:a16="http://schemas.microsoft.com/office/drawing/2014/main" id="{FE42694E-FE90-3874-3A4D-147DBC3F3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987550" cy="122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330200</xdr:colOff>
      <xdr:row>3</xdr:row>
      <xdr:rowOff>38100</xdr:rowOff>
    </xdr:from>
    <xdr:to>
      <xdr:col>9</xdr:col>
      <xdr:colOff>952500</xdr:colOff>
      <xdr:row>8</xdr:row>
      <xdr:rowOff>120650</xdr:rowOff>
    </xdr:to>
    <xdr:pic>
      <xdr:nvPicPr>
        <xdr:cNvPr id="23811" name="x_x_x_x_x_x_x_x_x_x_x_x_x_x_x_Imagen 11">
          <a:extLst>
            <a:ext uri="{FF2B5EF4-FFF2-40B4-BE49-F238E27FC236}">
              <a16:creationId xmlns:a16="http://schemas.microsoft.com/office/drawing/2014/main" id="{46FFD750-016F-0323-0812-2483485DB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6000" y="228600"/>
          <a:ext cx="622300" cy="103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801159</xdr:colOff>
      <xdr:row>8</xdr:row>
      <xdr:rowOff>177800</xdr:rowOff>
    </xdr:from>
    <xdr:to>
      <xdr:col>10</xdr:col>
      <xdr:colOff>606426</xdr:colOff>
      <xdr:row>11</xdr:row>
      <xdr:rowOff>204259</xdr:rowOff>
    </xdr:to>
    <xdr:sp macro="" textlink="">
      <xdr:nvSpPr>
        <xdr:cNvPr id="2" name="CuadroTexto 1">
          <a:extLst>
            <a:ext uri="{FF2B5EF4-FFF2-40B4-BE49-F238E27FC236}">
              <a16:creationId xmlns:a16="http://schemas.microsoft.com/office/drawing/2014/main" id="{7B842C01-1640-0550-16CE-4549424FDF59}"/>
            </a:ext>
          </a:extLst>
        </xdr:cNvPr>
        <xdr:cNvSpPr txBox="1"/>
      </xdr:nvSpPr>
      <xdr:spPr>
        <a:xfrm>
          <a:off x="6780742" y="1320800"/>
          <a:ext cx="4493684" cy="820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8 (REAPERTURA)</a:t>
          </a:r>
        </a:p>
        <a:p>
          <a:pPr algn="ctr"/>
          <a:r>
            <a:rPr lang="es-419" b="1"/>
            <a:t>Plazo: 210 días</a:t>
          </a:r>
        </a:p>
        <a:p>
          <a:pPr algn="ctr"/>
          <a:r>
            <a:rPr lang="es-419" b="1"/>
            <a:t> Vencimiento: 12 de diciembre de 2025</a:t>
          </a:r>
        </a:p>
        <a:p>
          <a:pPr algn="ctr"/>
          <a:r>
            <a:rPr lang="es-419" b="1"/>
            <a:t>Plazo Remanente: 182 días</a:t>
          </a:r>
          <a:r>
            <a:rPr lang="es-419"/>
            <a:t> </a:t>
          </a:r>
          <a:endParaRPr lang="es-419" sz="1100" b="1" i="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485775</xdr:colOff>
      <xdr:row>8</xdr:row>
      <xdr:rowOff>152400</xdr:rowOff>
    </xdr:to>
    <xdr:pic>
      <xdr:nvPicPr>
        <xdr:cNvPr id="21847" name="Imagen 1" descr="Logotipo&#10;&#10;Descripción generada automáticamente">
          <a:extLst>
            <a:ext uri="{FF2B5EF4-FFF2-40B4-BE49-F238E27FC236}">
              <a16:creationId xmlns:a16="http://schemas.microsoft.com/office/drawing/2014/main" id="{1365EE09-D518-A9EE-1B96-91844F77D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860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279400</xdr:colOff>
      <xdr:row>3</xdr:row>
      <xdr:rowOff>120650</xdr:rowOff>
    </xdr:from>
    <xdr:to>
      <xdr:col>9</xdr:col>
      <xdr:colOff>844550</xdr:colOff>
      <xdr:row>8</xdr:row>
      <xdr:rowOff>114300</xdr:rowOff>
    </xdr:to>
    <xdr:pic>
      <xdr:nvPicPr>
        <xdr:cNvPr id="21848" name="x_x_x_x_x_x_x_x_x_x_x_x_x_x_x_Imagen 11">
          <a:extLst>
            <a:ext uri="{FF2B5EF4-FFF2-40B4-BE49-F238E27FC236}">
              <a16:creationId xmlns:a16="http://schemas.microsoft.com/office/drawing/2014/main" id="{4FD6CF09-75D5-C0BB-EF05-B374B6CE6F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3100" y="311150"/>
          <a:ext cx="5651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32809</xdr:colOff>
      <xdr:row>8</xdr:row>
      <xdr:rowOff>96308</xdr:rowOff>
    </xdr:from>
    <xdr:to>
      <xdr:col>10</xdr:col>
      <xdr:colOff>462677</xdr:colOff>
      <xdr:row>11</xdr:row>
      <xdr:rowOff>39158</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5736167" y="1280583"/>
          <a:ext cx="42124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10 (NUEVA)</a:t>
          </a:r>
        </a:p>
        <a:p>
          <a:pPr algn="ctr"/>
          <a:r>
            <a:rPr lang="es-419" b="1"/>
            <a:t>Plazo: 364 días</a:t>
          </a:r>
        </a:p>
        <a:p>
          <a:pPr algn="ctr"/>
          <a:r>
            <a:rPr lang="es-419" b="1"/>
            <a:t> Vencimiento: 12 de</a:t>
          </a:r>
          <a:r>
            <a:rPr lang="es-419" b="1" baseline="0"/>
            <a:t> junio</a:t>
          </a:r>
          <a:r>
            <a:rPr lang="es-419" b="1"/>
            <a:t> de 2026</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485775</xdr:colOff>
      <xdr:row>8</xdr:row>
      <xdr:rowOff>152400</xdr:rowOff>
    </xdr:to>
    <xdr:pic>
      <xdr:nvPicPr>
        <xdr:cNvPr id="25616" name="Imagen 1" descr="Logotipo&#10;&#10;Descripción generada automáticamente">
          <a:extLst>
            <a:ext uri="{FF2B5EF4-FFF2-40B4-BE49-F238E27FC236}">
              <a16:creationId xmlns:a16="http://schemas.microsoft.com/office/drawing/2014/main" id="{F996F40E-FB7B-8C57-37EC-963E97B4D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860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279400</xdr:colOff>
      <xdr:row>3</xdr:row>
      <xdr:rowOff>120650</xdr:rowOff>
    </xdr:from>
    <xdr:to>
      <xdr:col>9</xdr:col>
      <xdr:colOff>844550</xdr:colOff>
      <xdr:row>8</xdr:row>
      <xdr:rowOff>114300</xdr:rowOff>
    </xdr:to>
    <xdr:pic>
      <xdr:nvPicPr>
        <xdr:cNvPr id="25617" name="x_x_x_x_x_x_x_x_x_x_x_x_x_x_x_Imagen 11">
          <a:extLst>
            <a:ext uri="{FF2B5EF4-FFF2-40B4-BE49-F238E27FC236}">
              <a16:creationId xmlns:a16="http://schemas.microsoft.com/office/drawing/2014/main" id="{43DD7E35-1ABD-E484-5F02-80AE93AF8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3100" y="311150"/>
          <a:ext cx="5651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32809</xdr:colOff>
      <xdr:row>8</xdr:row>
      <xdr:rowOff>96308</xdr:rowOff>
    </xdr:from>
    <xdr:to>
      <xdr:col>10</xdr:col>
      <xdr:colOff>462677</xdr:colOff>
      <xdr:row>11</xdr:row>
      <xdr:rowOff>39158</xdr:rowOff>
    </xdr:to>
    <xdr:sp macro="" textlink="">
      <xdr:nvSpPr>
        <xdr:cNvPr id="4" name="CuadroTexto 3">
          <a:extLst>
            <a:ext uri="{FF2B5EF4-FFF2-40B4-BE49-F238E27FC236}">
              <a16:creationId xmlns:a16="http://schemas.microsoft.com/office/drawing/2014/main" id="{2A28DFFD-4BDD-257B-3EF6-09F2AC8BD985}"/>
            </a:ext>
          </a:extLst>
        </xdr:cNvPr>
        <xdr:cNvSpPr txBox="1"/>
      </xdr:nvSpPr>
      <xdr:spPr>
        <a:xfrm>
          <a:off x="6554259" y="1239308"/>
          <a:ext cx="4284318"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11 (NUEVA)</a:t>
          </a:r>
        </a:p>
        <a:p>
          <a:pPr algn="ctr"/>
          <a:r>
            <a:rPr lang="es-419" b="1"/>
            <a:t>Plazo: 91 días</a:t>
          </a:r>
        </a:p>
        <a:p>
          <a:pPr algn="ctr"/>
          <a:r>
            <a:rPr lang="es-419" b="1"/>
            <a:t> Vencimiento: 12</a:t>
          </a:r>
          <a:r>
            <a:rPr lang="es-419" b="1" baseline="0"/>
            <a:t> de septiembre</a:t>
          </a:r>
          <a:r>
            <a:rPr lang="es-419" b="1"/>
            <a:t> de 2025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D1:U51"/>
  <sheetViews>
    <sheetView showGridLines="0" tabSelected="1" topLeftCell="G1" zoomScale="80" zoomScaleNormal="80" workbookViewId="0">
      <selection activeCell="J18" sqref="J18"/>
    </sheetView>
  </sheetViews>
  <sheetFormatPr baseColWidth="10" defaultRowHeight="12.75" x14ac:dyDescent="0.2"/>
  <cols>
    <col min="1" max="1" width="4.85546875" customWidth="1"/>
    <col min="2" max="3" width="4.5703125" customWidth="1"/>
    <col min="4" max="6" width="4.5703125" hidden="1" customWidth="1"/>
    <col min="7" max="7" width="7" customWidth="1"/>
    <col min="8" max="8" width="5.7109375" customWidth="1"/>
    <col min="9" max="9" width="22.5703125" customWidth="1"/>
    <col min="10" max="10" width="21.5703125" customWidth="1"/>
    <col min="11" max="12" width="4.140625" customWidth="1"/>
    <col min="13" max="13" width="24.28515625" bestFit="1" customWidth="1"/>
    <col min="14" max="14" width="23.85546875" bestFit="1" customWidth="1"/>
    <col min="15" max="15" width="4.140625" customWidth="1"/>
    <col min="16" max="16" width="25.28515625" bestFit="1" customWidth="1"/>
    <col min="17" max="17" width="23.85546875" bestFit="1" customWidth="1"/>
    <col min="18" max="18" width="4.140625" customWidth="1"/>
    <col min="19" max="19" width="22.5703125" customWidth="1"/>
    <col min="20" max="20" width="23.85546875" bestFit="1" customWidth="1"/>
    <col min="21" max="21" width="4.140625" customWidth="1"/>
  </cols>
  <sheetData>
    <row r="1" spans="8:21" ht="23.25" customHeight="1" x14ac:dyDescent="0.2"/>
    <row r="3" spans="8:21" ht="19.5" customHeight="1" x14ac:dyDescent="0.2"/>
    <row r="4" spans="8:21" ht="9.9499999999999993" customHeight="1" x14ac:dyDescent="0.2"/>
    <row r="5" spans="8:21" ht="15" customHeight="1" x14ac:dyDescent="0.2">
      <c r="H5" s="109"/>
      <c r="I5" s="109"/>
      <c r="J5" s="109"/>
      <c r="K5" s="109"/>
      <c r="L5" s="109"/>
      <c r="M5" s="109"/>
      <c r="N5" s="109"/>
    </row>
    <row r="6" spans="8:21" ht="15" customHeight="1" x14ac:dyDescent="0.2">
      <c r="H6" s="109"/>
      <c r="I6" s="109"/>
      <c r="J6" s="109"/>
      <c r="K6" s="109"/>
      <c r="L6" s="109"/>
      <c r="M6" s="109"/>
      <c r="N6" s="109"/>
    </row>
    <row r="7" spans="8:21" ht="15" customHeight="1" x14ac:dyDescent="0.2">
      <c r="H7" s="109"/>
      <c r="I7" s="109"/>
      <c r="J7" s="141"/>
      <c r="K7" s="141"/>
      <c r="L7" s="141"/>
      <c r="M7" s="141"/>
      <c r="N7" s="109"/>
    </row>
    <row r="8" spans="8:21" ht="9.9499999999999993" customHeight="1" x14ac:dyDescent="0.2">
      <c r="H8" s="109"/>
      <c r="I8" s="110"/>
      <c r="J8" s="109"/>
      <c r="K8" s="109"/>
      <c r="L8" s="109"/>
      <c r="M8" s="109"/>
      <c r="N8" s="109"/>
      <c r="O8" s="111"/>
      <c r="R8" s="111"/>
      <c r="U8" s="111"/>
    </row>
    <row r="9" spans="8:21" ht="9.9499999999999993" customHeight="1" x14ac:dyDescent="0.2">
      <c r="H9" s="111"/>
      <c r="I9" s="111"/>
      <c r="J9" s="111"/>
      <c r="K9" s="111"/>
      <c r="L9" s="111"/>
      <c r="M9" s="111"/>
      <c r="N9" s="111"/>
      <c r="O9" s="111"/>
      <c r="R9" s="111"/>
      <c r="U9" s="111"/>
    </row>
    <row r="10" spans="8:21" ht="16.5" customHeight="1" x14ac:dyDescent="0.2">
      <c r="H10" s="112"/>
      <c r="I10" s="112"/>
      <c r="J10" s="112"/>
      <c r="K10" s="112"/>
      <c r="L10" s="112"/>
      <c r="M10" s="112"/>
      <c r="N10" s="112"/>
      <c r="O10" s="112"/>
      <c r="P10" s="112"/>
      <c r="Q10" s="112"/>
      <c r="R10" s="112"/>
      <c r="S10" s="112"/>
      <c r="T10" s="112"/>
      <c r="U10" s="112"/>
    </row>
    <row r="11" spans="8:21" ht="23.25" customHeight="1" x14ac:dyDescent="0.35">
      <c r="H11" s="112"/>
      <c r="I11" s="139" t="s">
        <v>47</v>
      </c>
      <c r="J11" s="140"/>
      <c r="K11" s="112"/>
      <c r="L11" s="112"/>
      <c r="M11" s="139" t="s">
        <v>48</v>
      </c>
      <c r="N11" s="140"/>
      <c r="O11" s="112"/>
      <c r="P11" s="139" t="s">
        <v>39</v>
      </c>
      <c r="Q11" s="140"/>
      <c r="R11" s="112"/>
      <c r="S11" s="139" t="s">
        <v>46</v>
      </c>
      <c r="T11" s="140"/>
      <c r="U11" s="112"/>
    </row>
    <row r="12" spans="8:21" ht="20.100000000000001" customHeight="1" x14ac:dyDescent="0.2">
      <c r="H12" s="112"/>
      <c r="I12" s="113" t="s">
        <v>22</v>
      </c>
      <c r="J12" s="114">
        <v>45821</v>
      </c>
      <c r="K12" s="112"/>
      <c r="L12" s="112"/>
      <c r="M12" s="113" t="s">
        <v>22</v>
      </c>
      <c r="N12" s="114">
        <f>+J12</f>
        <v>45821</v>
      </c>
      <c r="O12" s="112"/>
      <c r="P12" s="113" t="s">
        <v>22</v>
      </c>
      <c r="Q12" s="114">
        <f>+N12</f>
        <v>45821</v>
      </c>
      <c r="R12" s="112"/>
      <c r="S12" s="113" t="s">
        <v>22</v>
      </c>
      <c r="T12" s="114">
        <f>+Q12</f>
        <v>45821</v>
      </c>
      <c r="U12" s="112"/>
    </row>
    <row r="13" spans="8:21" ht="20.100000000000001" customHeight="1" x14ac:dyDescent="0.2">
      <c r="H13" s="112"/>
      <c r="I13" s="115" t="s">
        <v>23</v>
      </c>
      <c r="J13" s="114">
        <f>+J12+J15</f>
        <v>45856</v>
      </c>
      <c r="K13" s="112"/>
      <c r="L13" s="112"/>
      <c r="M13" s="115" t="s">
        <v>23</v>
      </c>
      <c r="N13" s="114">
        <v>45884</v>
      </c>
      <c r="O13" s="112"/>
      <c r="P13" s="115" t="s">
        <v>23</v>
      </c>
      <c r="Q13" s="114">
        <f>+Q12+Q14</f>
        <v>46185</v>
      </c>
      <c r="R13" s="112"/>
      <c r="S13" s="115" t="s">
        <v>23</v>
      </c>
      <c r="T13" s="114">
        <f>+T12+T14</f>
        <v>45912</v>
      </c>
      <c r="U13" s="112"/>
    </row>
    <row r="14" spans="8:21" ht="20.100000000000001" customHeight="1" x14ac:dyDescent="0.2">
      <c r="H14" s="112"/>
      <c r="I14" s="115" t="s">
        <v>20</v>
      </c>
      <c r="J14" s="116">
        <v>182</v>
      </c>
      <c r="K14" s="112"/>
      <c r="L14" s="112"/>
      <c r="M14" s="115" t="s">
        <v>20</v>
      </c>
      <c r="N14" s="116">
        <v>210</v>
      </c>
      <c r="O14" s="112"/>
      <c r="P14" s="115" t="s">
        <v>20</v>
      </c>
      <c r="Q14" s="116">
        <v>364</v>
      </c>
      <c r="R14" s="112"/>
      <c r="S14" s="115" t="s">
        <v>20</v>
      </c>
      <c r="T14" s="116">
        <v>91</v>
      </c>
      <c r="U14" s="112"/>
    </row>
    <row r="15" spans="8:21" ht="20.100000000000001" customHeight="1" x14ac:dyDescent="0.2">
      <c r="H15" s="112"/>
      <c r="I15" s="115" t="s">
        <v>29</v>
      </c>
      <c r="J15" s="116">
        <v>35</v>
      </c>
      <c r="K15" s="112"/>
      <c r="L15" s="112"/>
      <c r="M15" s="115" t="s">
        <v>29</v>
      </c>
      <c r="N15" s="116">
        <v>182</v>
      </c>
      <c r="O15" s="112"/>
      <c r="P15" s="115" t="s">
        <v>29</v>
      </c>
      <c r="Q15" s="116" t="s">
        <v>37</v>
      </c>
      <c r="R15" s="112"/>
      <c r="S15" s="115" t="s">
        <v>29</v>
      </c>
      <c r="T15" s="116" t="s">
        <v>37</v>
      </c>
      <c r="U15" s="112"/>
    </row>
    <row r="16" spans="8:21" ht="20.100000000000001" customHeight="1" x14ac:dyDescent="0.2">
      <c r="H16" s="112"/>
      <c r="I16" s="117" t="s">
        <v>24</v>
      </c>
      <c r="J16" s="118" t="s">
        <v>27</v>
      </c>
      <c r="K16" s="112"/>
      <c r="L16" s="112"/>
      <c r="M16" s="115" t="s">
        <v>24</v>
      </c>
      <c r="N16" s="118" t="s">
        <v>27</v>
      </c>
      <c r="O16" s="112"/>
      <c r="P16" s="115" t="s">
        <v>24</v>
      </c>
      <c r="Q16" s="118" t="s">
        <v>27</v>
      </c>
      <c r="R16" s="112"/>
      <c r="S16" s="115" t="s">
        <v>24</v>
      </c>
      <c r="T16" s="118" t="s">
        <v>27</v>
      </c>
      <c r="U16" s="112"/>
    </row>
    <row r="17" spans="8:21" ht="20.100000000000001" customHeight="1" x14ac:dyDescent="0.2">
      <c r="H17" s="112"/>
      <c r="I17" s="115" t="s">
        <v>28</v>
      </c>
      <c r="J17" s="119">
        <v>0.34499999999999997</v>
      </c>
      <c r="K17" s="112"/>
      <c r="L17" s="112"/>
      <c r="M17" s="115" t="s">
        <v>38</v>
      </c>
      <c r="N17" s="120">
        <v>0.05</v>
      </c>
      <c r="O17" s="112"/>
      <c r="P17" s="115" t="s">
        <v>25</v>
      </c>
      <c r="Q17" s="121">
        <v>1</v>
      </c>
      <c r="R17" s="112"/>
      <c r="S17" s="115" t="s">
        <v>25</v>
      </c>
      <c r="T17" s="121">
        <v>1</v>
      </c>
      <c r="U17" s="112"/>
    </row>
    <row r="18" spans="8:21" ht="20.100000000000001" customHeight="1" x14ac:dyDescent="0.2">
      <c r="H18" s="112"/>
      <c r="I18" s="122" t="s">
        <v>25</v>
      </c>
      <c r="J18" s="108">
        <v>1.1355498042338574</v>
      </c>
      <c r="K18" s="112"/>
      <c r="L18" s="112"/>
      <c r="M18" s="122" t="s">
        <v>25</v>
      </c>
      <c r="N18" s="108">
        <v>1.0274294222276092</v>
      </c>
      <c r="O18" s="112"/>
      <c r="P18" s="122" t="s">
        <v>33</v>
      </c>
      <c r="Q18" s="90">
        <v>0.05</v>
      </c>
      <c r="R18" s="112"/>
      <c r="S18" s="122" t="s">
        <v>40</v>
      </c>
      <c r="T18" s="90">
        <v>0.35</v>
      </c>
      <c r="U18" s="112"/>
    </row>
    <row r="19" spans="8:21" ht="20.100000000000001" customHeight="1" x14ac:dyDescent="0.2">
      <c r="H19" s="112"/>
      <c r="I19" s="113" t="s">
        <v>0</v>
      </c>
      <c r="J19" s="83">
        <f>+'Clase 3 Reapertura'!H13</f>
        <v>0.39059521555900578</v>
      </c>
      <c r="K19" s="112"/>
      <c r="L19" s="112"/>
      <c r="M19" s="113" t="s">
        <v>0</v>
      </c>
      <c r="N19" s="83">
        <f>+'Clase 8 Reapertura'!H16</f>
        <v>0.40952164530754098</v>
      </c>
      <c r="O19" s="112"/>
      <c r="P19" s="115" t="s">
        <v>34</v>
      </c>
      <c r="Q19" s="78">
        <f>+Q18+Q23</f>
        <v>0.37937499999999996</v>
      </c>
      <c r="R19" s="112"/>
      <c r="S19" s="115" t="s">
        <v>34</v>
      </c>
      <c r="T19" s="78">
        <f>+T18+T23</f>
        <v>0.35</v>
      </c>
      <c r="U19" s="112"/>
    </row>
    <row r="20" spans="8:21" ht="20.100000000000001" customHeight="1" x14ac:dyDescent="0.2">
      <c r="H20" s="112"/>
      <c r="I20" s="115" t="s">
        <v>12</v>
      </c>
      <c r="J20" s="82">
        <f>+'Clase 3 Reapertura'!H14</f>
        <v>0.33499999589226043</v>
      </c>
      <c r="K20" s="112"/>
      <c r="L20" s="112"/>
      <c r="M20" s="115" t="s">
        <v>12</v>
      </c>
      <c r="N20" s="82">
        <f>+'Clase 8 Reapertura'!H17</f>
        <v>0.37437499531002816</v>
      </c>
      <c r="O20" s="112"/>
      <c r="P20" s="117" t="s">
        <v>0</v>
      </c>
      <c r="Q20" s="83">
        <f>+'Clase 10'!H15</f>
        <v>0.37955119013786309</v>
      </c>
      <c r="R20" s="112"/>
      <c r="S20" s="117" t="s">
        <v>0</v>
      </c>
      <c r="T20" s="83">
        <f>+'Clase 11'!H13</f>
        <v>0.3987282574176787</v>
      </c>
      <c r="U20" s="112"/>
    </row>
    <row r="21" spans="8:21" ht="20.100000000000001" customHeight="1" x14ac:dyDescent="0.2">
      <c r="H21" s="112"/>
      <c r="I21" s="123" t="s">
        <v>3</v>
      </c>
      <c r="J21" s="124">
        <f>+'Clase 3 Reapertura'!H16</f>
        <v>1.1506849315068493</v>
      </c>
      <c r="K21" s="112"/>
      <c r="L21" s="112"/>
      <c r="M21" s="123" t="s">
        <v>3</v>
      </c>
      <c r="N21" s="124">
        <f>+'Clase 8 Reapertura'!H19</f>
        <v>5.9835616438356176</v>
      </c>
      <c r="O21" s="112"/>
      <c r="P21" s="115" t="s">
        <v>12</v>
      </c>
      <c r="Q21" s="82">
        <f>+'Clase 10'!H16</f>
        <v>0.37937499464998947</v>
      </c>
      <c r="R21" s="112"/>
      <c r="S21" s="115" t="s">
        <v>12</v>
      </c>
      <c r="T21" s="82">
        <f>+'Clase 11'!H14</f>
        <v>0.3499999962176662</v>
      </c>
      <c r="U21" s="112"/>
    </row>
    <row r="22" spans="8:21" ht="20.100000000000001" customHeight="1" x14ac:dyDescent="0.2">
      <c r="H22" s="112"/>
      <c r="I22" s="112"/>
      <c r="J22" s="112"/>
      <c r="K22" s="112"/>
      <c r="L22" s="112"/>
      <c r="M22" s="122" t="s">
        <v>53</v>
      </c>
      <c r="N22" s="77">
        <v>0.32937499999999997</v>
      </c>
      <c r="O22" s="112"/>
      <c r="P22" s="117" t="s">
        <v>3</v>
      </c>
      <c r="Q22" s="125">
        <f>+'Clase 10'!H18</f>
        <v>11.967123287671235</v>
      </c>
      <c r="R22" s="112"/>
      <c r="S22" s="117" t="s">
        <v>3</v>
      </c>
      <c r="T22" s="125">
        <f>+'Clase 11'!H16</f>
        <v>2.9917808219178088</v>
      </c>
      <c r="U22" s="112"/>
    </row>
    <row r="23" spans="8:21" ht="20.100000000000001" customHeight="1" x14ac:dyDescent="0.2">
      <c r="H23" s="112"/>
      <c r="I23" s="112"/>
      <c r="J23" s="112"/>
      <c r="K23" s="112"/>
      <c r="L23" s="112"/>
      <c r="M23" s="123" t="s">
        <v>49</v>
      </c>
      <c r="N23" s="106">
        <f>+N20-N22</f>
        <v>4.4999995310028185E-2</v>
      </c>
      <c r="O23" s="112"/>
      <c r="P23" s="122" t="str">
        <f>+M22</f>
        <v>Ultima Tamar Publicada</v>
      </c>
      <c r="Q23" s="77">
        <f>+N22</f>
        <v>0.32937499999999997</v>
      </c>
      <c r="R23" s="112"/>
      <c r="S23" s="112"/>
      <c r="T23" s="112"/>
      <c r="U23" s="112"/>
    </row>
    <row r="24" spans="8:21" ht="20.100000000000001" customHeight="1" x14ac:dyDescent="0.2">
      <c r="H24" s="112"/>
      <c r="I24" s="112"/>
      <c r="J24" s="112"/>
      <c r="K24" s="112"/>
      <c r="L24" s="112"/>
      <c r="M24" s="112"/>
      <c r="N24" s="112"/>
      <c r="O24" s="112"/>
      <c r="P24" s="112"/>
      <c r="Q24" s="112"/>
      <c r="R24" s="112"/>
      <c r="S24" s="112"/>
      <c r="T24" s="112"/>
      <c r="U24" s="112"/>
    </row>
    <row r="25" spans="8:21" ht="20.100000000000001" customHeight="1" x14ac:dyDescent="0.2">
      <c r="H25" s="112"/>
      <c r="I25" s="126" t="s">
        <v>54</v>
      </c>
      <c r="J25" s="102">
        <v>0.33500000000000002</v>
      </c>
      <c r="K25" s="112"/>
      <c r="L25" s="112"/>
      <c r="M25" s="127" t="s">
        <v>51</v>
      </c>
      <c r="N25" s="103">
        <v>4.4999999999999998E-2</v>
      </c>
      <c r="O25" s="112"/>
      <c r="P25" s="112"/>
      <c r="Q25" s="112"/>
      <c r="R25" s="112"/>
      <c r="S25" s="112"/>
      <c r="T25" s="112"/>
      <c r="U25" s="112"/>
    </row>
    <row r="26" spans="8:21" ht="20.100000000000001" hidden="1" customHeight="1" x14ac:dyDescent="0.2">
      <c r="H26" s="112"/>
      <c r="K26" s="112"/>
      <c r="L26" s="112"/>
      <c r="M26" s="113" t="s">
        <v>12</v>
      </c>
      <c r="N26" s="104">
        <f>+N25+N22</f>
        <v>0.37437499999999996</v>
      </c>
      <c r="O26" s="112"/>
      <c r="P26" s="112"/>
      <c r="Q26" s="112"/>
      <c r="R26" s="112"/>
      <c r="S26" s="112"/>
      <c r="T26" s="112"/>
      <c r="U26" s="112"/>
    </row>
    <row r="27" spans="8:21" ht="20.100000000000001" hidden="1" customHeight="1" x14ac:dyDescent="0.2">
      <c r="H27" s="112"/>
      <c r="I27" s="115" t="s">
        <v>30</v>
      </c>
      <c r="J27" s="105">
        <f>+(1+J25/365*35)^(365/35)-1</f>
        <v>0.39059522109342537</v>
      </c>
      <c r="K27" s="112"/>
      <c r="L27" s="112"/>
      <c r="M27" s="115" t="s">
        <v>30</v>
      </c>
      <c r="N27" s="105">
        <f>+(1+N26/365*182)^(365/182)-1</f>
        <v>0.40952165087824799</v>
      </c>
      <c r="O27" s="112"/>
      <c r="P27" s="112"/>
      <c r="Q27" s="112"/>
      <c r="R27" s="112"/>
      <c r="S27" s="112"/>
      <c r="T27" s="112"/>
      <c r="U27" s="112"/>
    </row>
    <row r="28" spans="8:21" ht="20.100000000000001" customHeight="1" x14ac:dyDescent="0.2">
      <c r="H28" s="112"/>
      <c r="I28" s="128" t="s">
        <v>25</v>
      </c>
      <c r="J28" s="129">
        <f>+XNPV(J27,J36:J37,I36:I37)/'Clase 3 Reapertura'!D12</f>
        <v>1.1355498042338574</v>
      </c>
      <c r="K28" s="112"/>
      <c r="L28" s="112"/>
      <c r="M28" s="117" t="s">
        <v>25</v>
      </c>
      <c r="N28" s="129">
        <f>+XNPV(N27,N36:N37,M36:M37)/'Clase 8 Reapertura'!D11</f>
        <v>1.0274294222276092</v>
      </c>
      <c r="O28" s="112"/>
      <c r="P28" s="112"/>
      <c r="Q28" s="112"/>
      <c r="R28" s="112"/>
      <c r="S28" s="112"/>
      <c r="T28" s="112"/>
      <c r="U28" s="112"/>
    </row>
    <row r="29" spans="8:21" ht="20.100000000000001" customHeight="1" x14ac:dyDescent="0.2">
      <c r="H29" s="112"/>
      <c r="I29" s="112"/>
      <c r="J29" s="112"/>
      <c r="K29" s="112"/>
      <c r="L29" s="112"/>
      <c r="M29" s="112"/>
      <c r="N29" s="130"/>
      <c r="O29" s="112"/>
      <c r="P29" s="112"/>
      <c r="Q29" s="112"/>
      <c r="R29" s="112"/>
      <c r="S29" s="112"/>
      <c r="T29" s="112"/>
      <c r="U29" s="112"/>
    </row>
    <row r="30" spans="8:21" ht="20.100000000000001" hidden="1" customHeight="1" x14ac:dyDescent="0.2">
      <c r="H30" s="112"/>
      <c r="I30" s="112"/>
      <c r="J30" s="112"/>
      <c r="K30" s="112"/>
      <c r="L30" s="112"/>
      <c r="M30" s="112"/>
      <c r="N30" s="130"/>
      <c r="O30" s="112"/>
      <c r="P30" s="112"/>
      <c r="Q30" s="112"/>
      <c r="R30" s="112"/>
      <c r="S30" s="112"/>
      <c r="T30" s="112"/>
      <c r="U30" s="112"/>
    </row>
    <row r="31" spans="8:21" ht="20.100000000000001" hidden="1" customHeight="1" x14ac:dyDescent="0.2">
      <c r="H31" s="112"/>
      <c r="I31" s="112"/>
      <c r="J31" s="112"/>
      <c r="K31" s="112"/>
      <c r="L31" s="112"/>
      <c r="M31" s="112"/>
      <c r="N31" s="130"/>
      <c r="O31" s="112"/>
      <c r="P31" s="112"/>
      <c r="Q31" s="112"/>
      <c r="R31" s="112"/>
      <c r="S31" s="112"/>
      <c r="T31" s="112"/>
      <c r="U31" s="112"/>
    </row>
    <row r="32" spans="8:21" ht="20.100000000000001" hidden="1" customHeight="1" x14ac:dyDescent="0.2">
      <c r="H32" s="112"/>
      <c r="I32" s="112"/>
      <c r="J32" s="112"/>
      <c r="K32" s="112"/>
      <c r="L32" s="112"/>
      <c r="M32" s="112"/>
      <c r="N32" s="130"/>
      <c r="O32" s="112"/>
      <c r="P32" s="112"/>
      <c r="Q32" s="112"/>
      <c r="R32" s="112"/>
      <c r="S32" s="112"/>
      <c r="T32" s="112"/>
      <c r="U32" s="112"/>
    </row>
    <row r="33" spans="8:21" ht="9" customHeight="1" x14ac:dyDescent="0.2"/>
    <row r="34" spans="8:21" ht="12.75" customHeight="1" x14ac:dyDescent="0.25">
      <c r="H34" s="131"/>
      <c r="I34" s="71" t="s">
        <v>26</v>
      </c>
    </row>
    <row r="35" spans="8:21" ht="12.75" hidden="1" customHeight="1" x14ac:dyDescent="0.2">
      <c r="I35" s="132" t="s">
        <v>50</v>
      </c>
      <c r="M35" s="132" t="s">
        <v>50</v>
      </c>
    </row>
    <row r="36" spans="8:21" ht="12.75" hidden="1" customHeight="1" x14ac:dyDescent="0.2">
      <c r="I36" s="133">
        <f>+J12</f>
        <v>45821</v>
      </c>
      <c r="J36" s="132">
        <v>0</v>
      </c>
      <c r="M36" s="133">
        <f>+N12</f>
        <v>45821</v>
      </c>
      <c r="N36" s="132">
        <v>0</v>
      </c>
    </row>
    <row r="37" spans="8:21" ht="12.75" hidden="1" customHeight="1" x14ac:dyDescent="0.2">
      <c r="I37" s="133">
        <f>+'Clase 3 Reapertura'!C22</f>
        <v>45856</v>
      </c>
      <c r="J37" s="134">
        <f>+'Clase 3 Reapertura'!P22</f>
        <v>11720.273972602739</v>
      </c>
      <c r="M37" s="133">
        <f>+'Clase 8 Reapertura'!C24</f>
        <v>46003</v>
      </c>
      <c r="N37" s="134">
        <f>+'Clase 8 Reapertura'!P24</f>
        <v>121.92244577625571</v>
      </c>
    </row>
    <row r="38" spans="8:21" ht="12.75" customHeight="1" x14ac:dyDescent="0.25">
      <c r="I38" s="71"/>
      <c r="M38" s="133"/>
      <c r="N38" s="135"/>
    </row>
    <row r="40" spans="8:21" ht="12.75" customHeight="1" x14ac:dyDescent="0.2">
      <c r="H40" s="138" t="s">
        <v>17</v>
      </c>
      <c r="I40" s="138"/>
      <c r="J40" s="138"/>
      <c r="K40" s="138"/>
      <c r="L40" s="138"/>
      <c r="M40" s="138"/>
      <c r="N40" s="138"/>
      <c r="O40" s="138"/>
      <c r="P40" s="138"/>
      <c r="Q40" s="138"/>
      <c r="R40" s="138"/>
    </row>
    <row r="41" spans="8:21" ht="12.75" customHeight="1" x14ac:dyDescent="0.2">
      <c r="H41" s="138"/>
      <c r="I41" s="138"/>
      <c r="J41" s="138"/>
      <c r="K41" s="138"/>
      <c r="L41" s="138"/>
      <c r="M41" s="138"/>
      <c r="N41" s="138"/>
      <c r="O41" s="138"/>
      <c r="P41" s="138"/>
      <c r="Q41" s="138"/>
      <c r="R41" s="138"/>
    </row>
    <row r="42" spans="8:21" ht="15" customHeight="1" x14ac:dyDescent="0.2">
      <c r="H42" s="138"/>
      <c r="I42" s="138"/>
      <c r="J42" s="138"/>
      <c r="K42" s="138"/>
      <c r="L42" s="138"/>
      <c r="M42" s="138"/>
      <c r="N42" s="138"/>
      <c r="O42" s="138"/>
      <c r="P42" s="138"/>
      <c r="Q42" s="138"/>
      <c r="R42" s="138"/>
    </row>
    <row r="43" spans="8:21" ht="12.75" customHeight="1" x14ac:dyDescent="0.2">
      <c r="H43" s="138"/>
      <c r="I43" s="138"/>
      <c r="J43" s="138"/>
      <c r="K43" s="138"/>
      <c r="L43" s="138"/>
      <c r="M43" s="138"/>
      <c r="N43" s="138"/>
      <c r="O43" s="138"/>
      <c r="P43" s="138"/>
      <c r="Q43" s="138"/>
      <c r="R43" s="138"/>
    </row>
    <row r="44" spans="8:21" ht="15" customHeight="1" x14ac:dyDescent="0.2">
      <c r="H44" s="138"/>
      <c r="I44" s="138"/>
      <c r="J44" s="138"/>
      <c r="K44" s="138"/>
      <c r="L44" s="138"/>
      <c r="M44" s="138"/>
      <c r="N44" s="138"/>
      <c r="O44" s="138"/>
      <c r="P44" s="138"/>
      <c r="Q44" s="138"/>
      <c r="R44" s="138"/>
    </row>
    <row r="45" spans="8:21" ht="13.5" customHeight="1" x14ac:dyDescent="0.2">
      <c r="I45" s="136"/>
      <c r="J45" s="136"/>
      <c r="K45" s="136"/>
      <c r="L45" s="136"/>
      <c r="M45" s="136"/>
      <c r="N45" s="136"/>
      <c r="O45" s="136"/>
      <c r="R45" s="136"/>
      <c r="U45" s="136"/>
    </row>
    <row r="46" spans="8:21" ht="20.25" customHeight="1" x14ac:dyDescent="0.2">
      <c r="H46" s="138" t="s">
        <v>18</v>
      </c>
      <c r="I46" s="138"/>
      <c r="J46" s="138"/>
      <c r="K46" s="138"/>
      <c r="L46" s="138"/>
      <c r="M46" s="138"/>
      <c r="N46" s="138"/>
      <c r="O46" s="138"/>
      <c r="P46" s="138"/>
      <c r="Q46" s="138"/>
      <c r="R46" s="137"/>
      <c r="U46" s="137"/>
    </row>
    <row r="47" spans="8:21" ht="18" customHeight="1" x14ac:dyDescent="0.2">
      <c r="H47" s="138"/>
      <c r="I47" s="138"/>
      <c r="J47" s="138"/>
      <c r="K47" s="138"/>
      <c r="L47" s="138"/>
      <c r="M47" s="138"/>
      <c r="N47" s="138"/>
      <c r="O47" s="138"/>
      <c r="P47" s="138"/>
      <c r="Q47" s="138"/>
      <c r="R47" s="137"/>
      <c r="U47" s="137"/>
    </row>
    <row r="48" spans="8:21" ht="37.5" customHeight="1" x14ac:dyDescent="0.2">
      <c r="H48" s="138"/>
      <c r="I48" s="138"/>
      <c r="J48" s="138"/>
      <c r="K48" s="138"/>
      <c r="L48" s="138"/>
      <c r="M48" s="138"/>
      <c r="N48" s="138"/>
      <c r="O48" s="138"/>
      <c r="P48" s="138"/>
      <c r="Q48" s="138"/>
      <c r="R48" s="137"/>
      <c r="U48" s="137"/>
    </row>
    <row r="49" spans="8:21" ht="12.75" customHeight="1" x14ac:dyDescent="0.2">
      <c r="H49" s="137"/>
      <c r="I49" s="137"/>
      <c r="J49" s="137"/>
      <c r="K49" s="137"/>
      <c r="L49" s="137"/>
      <c r="M49" s="137"/>
      <c r="N49" s="137"/>
      <c r="O49" s="137"/>
      <c r="P49" s="137"/>
      <c r="Q49" s="137"/>
      <c r="R49" s="137"/>
      <c r="S49" s="137"/>
      <c r="T49" s="137"/>
      <c r="U49" s="137"/>
    </row>
    <row r="50" spans="8:21" ht="12.75" customHeight="1" x14ac:dyDescent="0.2">
      <c r="H50" s="137"/>
      <c r="I50" s="137"/>
      <c r="J50" s="137"/>
      <c r="K50" s="137"/>
      <c r="L50" s="137"/>
      <c r="M50" s="137"/>
      <c r="N50" s="137"/>
      <c r="O50" s="137"/>
      <c r="P50" s="137"/>
      <c r="Q50" s="137"/>
      <c r="R50" s="137"/>
      <c r="S50" s="137"/>
      <c r="T50" s="137"/>
      <c r="U50" s="137"/>
    </row>
    <row r="51" spans="8:21" ht="12.75" customHeight="1" x14ac:dyDescent="0.2">
      <c r="H51" s="137"/>
      <c r="I51" s="137"/>
      <c r="J51" s="137"/>
      <c r="K51" s="137"/>
      <c r="L51" s="137"/>
      <c r="M51" s="137"/>
      <c r="N51" s="137"/>
      <c r="O51" s="137"/>
      <c r="P51" s="137"/>
      <c r="Q51" s="137"/>
      <c r="R51" s="137"/>
      <c r="S51" s="137"/>
      <c r="T51" s="137"/>
      <c r="U51" s="137"/>
    </row>
  </sheetData>
  <sheetProtection sheet="1" selectLockedCells="1"/>
  <mergeCells count="7">
    <mergeCell ref="H46:Q48"/>
    <mergeCell ref="S11:T11"/>
    <mergeCell ref="I11:J11"/>
    <mergeCell ref="M11:N11"/>
    <mergeCell ref="J7:M7"/>
    <mergeCell ref="P11:Q11"/>
    <mergeCell ref="H40:R44"/>
  </mergeCells>
  <pageMargins left="0.7" right="0.7" top="0.75" bottom="0.75" header="0.3" footer="0.3"/>
  <ignoredErrors>
    <ignoredError sqref="J19:J21 J13 N19:N21 Q19:Q23 T19:T22 T12:T13 Q12:Q13 N12 J28 N23 N28"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9"/>
  <sheetViews>
    <sheetView showGridLines="0" topLeftCell="A6"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42"/>
      <c r="P7" s="142"/>
      <c r="Q7" s="142"/>
      <c r="R7" s="142"/>
      <c r="S7" s="142"/>
    </row>
    <row r="8" spans="2:19" ht="15" customHeight="1" x14ac:dyDescent="0.25">
      <c r="E8" s="65"/>
      <c r="F8" s="65"/>
      <c r="G8" s="65"/>
      <c r="H8" s="65"/>
      <c r="I8" s="65"/>
      <c r="J8" s="65"/>
      <c r="K8" s="65"/>
      <c r="L8" s="65"/>
      <c r="M8" s="65"/>
      <c r="O8" s="142"/>
      <c r="P8" s="142"/>
      <c r="Q8" s="142"/>
      <c r="R8" s="142"/>
      <c r="S8" s="142"/>
    </row>
    <row r="9" spans="2:19" ht="18.75" customHeight="1" x14ac:dyDescent="0.35">
      <c r="E9" s="65"/>
      <c r="F9" s="65"/>
      <c r="G9" s="66"/>
      <c r="I9" s="65"/>
      <c r="J9" s="65"/>
      <c r="K9" s="65"/>
      <c r="L9" s="65"/>
      <c r="M9" s="65"/>
      <c r="O9" s="142"/>
      <c r="P9" s="142"/>
      <c r="Q9" s="142"/>
      <c r="R9" s="142"/>
      <c r="S9" s="142"/>
    </row>
    <row r="10" spans="2:19" ht="26.25" customHeight="1" x14ac:dyDescent="0.35">
      <c r="E10" s="65"/>
      <c r="G10" s="66"/>
      <c r="H10" s="66"/>
      <c r="I10" s="66"/>
      <c r="J10" s="66"/>
      <c r="L10" s="65"/>
      <c r="M10" s="65"/>
      <c r="O10" s="142"/>
      <c r="P10" s="142"/>
      <c r="Q10" s="142"/>
      <c r="R10" s="142"/>
      <c r="S10" s="142"/>
    </row>
    <row r="11" spans="2:19" ht="21" customHeight="1" x14ac:dyDescent="0.35">
      <c r="E11" s="65"/>
      <c r="F11" s="65"/>
      <c r="G11" s="69"/>
      <c r="H11" s="69"/>
      <c r="I11" s="69"/>
      <c r="J11" s="69"/>
      <c r="L11" s="65"/>
      <c r="M11" s="65"/>
      <c r="O11" s="142"/>
      <c r="P11" s="142"/>
      <c r="Q11" s="142"/>
      <c r="R11" s="142"/>
      <c r="S11" s="142"/>
    </row>
    <row r="12" spans="2:19" ht="18" customHeight="1" x14ac:dyDescent="0.25">
      <c r="B12" s="146" t="str">
        <f>+B20</f>
        <v>Letras del Tesoro Clase 3 Adicionales</v>
      </c>
      <c r="C12" s="147"/>
      <c r="D12" s="72">
        <v>10000</v>
      </c>
      <c r="E12" s="6"/>
      <c r="I12" s="58"/>
      <c r="J12" s="58"/>
      <c r="K12" s="58"/>
      <c r="L12" s="58"/>
      <c r="M12" s="58"/>
      <c r="O12" s="142"/>
      <c r="P12" s="142"/>
      <c r="Q12" s="142"/>
      <c r="R12" s="142"/>
      <c r="S12" s="142"/>
    </row>
    <row r="13" spans="2:19" ht="15" customHeight="1" x14ac:dyDescent="0.25">
      <c r="B13" s="15" t="s">
        <v>15</v>
      </c>
      <c r="C13" s="16"/>
      <c r="D13" s="88">
        <f>+Resumen!J17</f>
        <v>0.34499999999999997</v>
      </c>
      <c r="E13" s="6"/>
      <c r="F13" s="10" t="s">
        <v>0</v>
      </c>
      <c r="G13" s="11"/>
      <c r="H13" s="12">
        <f>M25</f>
        <v>0.39059521555900578</v>
      </c>
      <c r="J13" s="62"/>
      <c r="K13" s="58"/>
      <c r="L13" s="8"/>
    </row>
    <row r="14" spans="2:19" ht="15" customHeight="1" x14ac:dyDescent="0.25">
      <c r="B14" s="70" t="s">
        <v>25</v>
      </c>
      <c r="C14" s="16"/>
      <c r="D14" s="93">
        <f>+Resumen!J18</f>
        <v>1.1355498042338574</v>
      </c>
      <c r="E14" s="6"/>
      <c r="F14" s="18" t="s">
        <v>12</v>
      </c>
      <c r="G14" s="19"/>
      <c r="H14" s="20">
        <f>+((1+H13)^(D15/365)-1)/D15*365</f>
        <v>0.33499999589226043</v>
      </c>
      <c r="J14" s="62"/>
      <c r="K14" s="58"/>
      <c r="L14" s="8"/>
    </row>
    <row r="15" spans="2:19" ht="15" customHeight="1" x14ac:dyDescent="0.25">
      <c r="B15" s="15" t="s">
        <v>29</v>
      </c>
      <c r="C15" s="16"/>
      <c r="D15" s="63">
        <f>+Resumen!J15</f>
        <v>35</v>
      </c>
      <c r="E15" s="6"/>
      <c r="F15" s="21" t="s">
        <v>2</v>
      </c>
      <c r="G15" s="6"/>
      <c r="H15" s="22">
        <f>+M24</f>
        <v>9.5890410958904104E-2</v>
      </c>
      <c r="J15" s="98"/>
      <c r="K15" s="58"/>
      <c r="L15" s="8"/>
    </row>
    <row r="16" spans="2:19" ht="15" customHeight="1" x14ac:dyDescent="0.25">
      <c r="B16" s="15" t="s">
        <v>1</v>
      </c>
      <c r="C16" s="16"/>
      <c r="D16" s="17">
        <v>365</v>
      </c>
      <c r="E16" s="9"/>
      <c r="F16" s="21" t="s">
        <v>3</v>
      </c>
      <c r="G16" s="6"/>
      <c r="H16" s="22">
        <f>+H15*12</f>
        <v>1.1506849315068493</v>
      </c>
      <c r="I16" s="7"/>
      <c r="J16" s="99"/>
      <c r="K16" s="58"/>
      <c r="L16" s="13"/>
      <c r="M16" s="14"/>
    </row>
    <row r="17" spans="2:18" ht="15" customHeight="1" x14ac:dyDescent="0.25">
      <c r="B17" s="15" t="s">
        <v>32</v>
      </c>
      <c r="C17" s="16"/>
      <c r="D17" s="74">
        <v>45674</v>
      </c>
      <c r="E17" s="9"/>
      <c r="F17" s="25" t="s">
        <v>11</v>
      </c>
      <c r="G17" s="26"/>
      <c r="H17" s="27">
        <f>H16/(1+H13)</f>
        <v>0.82747655006441623</v>
      </c>
      <c r="I17" s="7"/>
      <c r="J17" s="62"/>
      <c r="K17" s="58"/>
      <c r="L17" s="13"/>
      <c r="M17" s="14"/>
    </row>
    <row r="18" spans="2:18" ht="15" customHeight="1" x14ac:dyDescent="0.25">
      <c r="B18" s="75" t="s">
        <v>31</v>
      </c>
      <c r="C18" s="24"/>
      <c r="D18" s="76">
        <f>+Resumen!J12</f>
        <v>45821</v>
      </c>
      <c r="E18" s="9"/>
      <c r="F18" s="6"/>
      <c r="G18" s="6"/>
      <c r="H18" s="73"/>
      <c r="I18" s="7"/>
      <c r="J18" s="100"/>
      <c r="K18" s="58"/>
      <c r="L18" s="13"/>
      <c r="M18" s="14"/>
    </row>
    <row r="19" spans="2:18" ht="15" customHeight="1" x14ac:dyDescent="0.25">
      <c r="E19" s="9"/>
      <c r="I19" s="7"/>
      <c r="J19" s="64"/>
      <c r="K19" s="58"/>
      <c r="L19" s="13"/>
      <c r="M19" s="14"/>
    </row>
    <row r="20" spans="2:18" ht="18" customHeight="1" x14ac:dyDescent="0.25">
      <c r="B20" s="143" t="s">
        <v>41</v>
      </c>
      <c r="C20" s="144"/>
      <c r="D20" s="144"/>
      <c r="E20" s="144"/>
      <c r="F20" s="144"/>
      <c r="G20" s="144"/>
      <c r="H20" s="145"/>
      <c r="J20" s="143" t="s">
        <v>13</v>
      </c>
      <c r="K20" s="144"/>
      <c r="L20" s="144"/>
      <c r="M20" s="144"/>
    </row>
    <row r="21" spans="2:18" ht="30.75" customHeight="1" x14ac:dyDescent="0.25">
      <c r="B21" s="28" t="s">
        <v>4</v>
      </c>
      <c r="C21" s="29" t="s">
        <v>16</v>
      </c>
      <c r="D21" s="30" t="s">
        <v>5</v>
      </c>
      <c r="E21" s="30" t="s">
        <v>6</v>
      </c>
      <c r="F21" s="29" t="s">
        <v>7</v>
      </c>
      <c r="G21" s="30" t="s">
        <v>8</v>
      </c>
      <c r="H21" s="31" t="s">
        <v>9</v>
      </c>
      <c r="I21" s="32"/>
      <c r="J21" s="68">
        <f>+D18</f>
        <v>45821</v>
      </c>
      <c r="K21" s="84">
        <f>-D12*D14</f>
        <v>-11355.498042338575</v>
      </c>
      <c r="L21" s="33" t="s">
        <v>10</v>
      </c>
      <c r="M21" s="34" t="s">
        <v>19</v>
      </c>
      <c r="O21" s="91">
        <v>0</v>
      </c>
      <c r="P21" s="1">
        <v>0</v>
      </c>
    </row>
    <row r="22" spans="2:18" ht="18" customHeight="1" x14ac:dyDescent="0.25">
      <c r="B22" s="60">
        <v>1</v>
      </c>
      <c r="C22" s="61">
        <f>+D18+D15</f>
        <v>45856</v>
      </c>
      <c r="D22" s="40">
        <f>+H22*$D$12</f>
        <v>10000</v>
      </c>
      <c r="E22" s="40">
        <f>D12*$D$13/$D$16*(C22-D17)</f>
        <v>1720.2739726027396</v>
      </c>
      <c r="F22" s="40">
        <f>+E22+D22</f>
        <v>11720.273972602739</v>
      </c>
      <c r="G22" s="40">
        <f>+D12-D22</f>
        <v>0</v>
      </c>
      <c r="H22" s="41">
        <v>1</v>
      </c>
      <c r="I22" s="35"/>
      <c r="J22" s="36">
        <f>+WORKDAY(C22-1,1,Feriados!$A$2:$A$162)</f>
        <v>45856</v>
      </c>
      <c r="K22" s="37">
        <f>+F22</f>
        <v>11720.273972602739</v>
      </c>
      <c r="L22" s="37">
        <f>+K22/((1+$H$13)^((J22-$J$21)/$D$16))</f>
        <v>11355.498046672214</v>
      </c>
      <c r="M22" s="38">
        <f>+L22*((J22-$J$21)/D$16)</f>
        <v>1088.8833743384314</v>
      </c>
      <c r="O22" s="92">
        <f>+K22</f>
        <v>11720.273972602739</v>
      </c>
      <c r="P22" s="39">
        <f>+K22</f>
        <v>11720.273972602739</v>
      </c>
      <c r="Q22" s="39"/>
      <c r="R22" s="59"/>
    </row>
    <row r="23" spans="2:18" ht="18" customHeight="1" x14ac:dyDescent="0.25">
      <c r="B23" s="42"/>
      <c r="C23" s="42"/>
      <c r="D23" s="43">
        <f>SUM(D22:D22)</f>
        <v>10000</v>
      </c>
      <c r="E23" s="43">
        <f>SUM(E22:E22)</f>
        <v>1720.2739726027396</v>
      </c>
      <c r="F23" s="43">
        <f>SUM(F22:F22)</f>
        <v>11720.273972602739</v>
      </c>
      <c r="G23" s="44"/>
      <c r="H23" s="45">
        <f>SUM(H22:H22)</f>
        <v>1</v>
      </c>
      <c r="I23" s="46"/>
      <c r="J23" s="47"/>
      <c r="K23" s="48"/>
      <c r="L23" s="49">
        <f>SUM(L22:L22)</f>
        <v>11355.498046672214</v>
      </c>
      <c r="M23" s="50">
        <f>SUM(M22:M22)</f>
        <v>1088.8833743384314</v>
      </c>
      <c r="Q23" s="39"/>
    </row>
    <row r="24" spans="2:18" ht="18" customHeight="1" x14ac:dyDescent="0.25">
      <c r="C24" s="51"/>
      <c r="D24" s="5"/>
      <c r="K24" s="52" t="s">
        <v>2</v>
      </c>
      <c r="L24" s="53"/>
      <c r="M24" s="54">
        <f>+M23/L23</f>
        <v>9.5890410958904104E-2</v>
      </c>
      <c r="Q24" s="55"/>
    </row>
    <row r="25" spans="2:18" ht="18" customHeight="1" x14ac:dyDescent="0.25">
      <c r="C25" s="51"/>
      <c r="D25" s="5"/>
      <c r="K25" s="52" t="s">
        <v>0</v>
      </c>
      <c r="L25" s="53"/>
      <c r="M25" s="57">
        <f>XIRR(K21:K22,J21:J22)</f>
        <v>0.39059521555900578</v>
      </c>
    </row>
    <row r="26" spans="2:18" ht="15" customHeight="1" x14ac:dyDescent="0.25">
      <c r="C26" s="56"/>
      <c r="D26" s="5"/>
      <c r="E26" s="23"/>
    </row>
    <row r="27" spans="2:18" ht="15" customHeight="1" x14ac:dyDescent="0.25">
      <c r="B27" s="138" t="s">
        <v>17</v>
      </c>
      <c r="C27" s="138"/>
      <c r="D27" s="138"/>
      <c r="E27" s="138"/>
      <c r="F27" s="138"/>
      <c r="G27" s="138"/>
      <c r="H27" s="138"/>
      <c r="I27" s="138"/>
      <c r="J27" s="138"/>
      <c r="K27" s="138"/>
      <c r="L27" s="138"/>
      <c r="M27" s="138"/>
    </row>
    <row r="28" spans="2:18" x14ac:dyDescent="0.25">
      <c r="B28" s="138"/>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ht="15" customHeight="1" x14ac:dyDescent="0.25">
      <c r="B31" s="138" t="s">
        <v>18</v>
      </c>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20:H20"/>
    <mergeCell ref="J20:M20"/>
    <mergeCell ref="B12:C12"/>
    <mergeCell ref="B27:M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4B1E-1174-4377-8297-1FC6D61F5433}">
  <dimension ref="B1:S251"/>
  <sheetViews>
    <sheetView showGridLines="0" topLeftCell="A3" zoomScale="90" zoomScaleNormal="90" workbookViewId="0">
      <selection activeCell="D11" sqref="D11"/>
    </sheetView>
  </sheetViews>
  <sheetFormatPr baseColWidth="10" defaultColWidth="11.42578125" defaultRowHeight="15" x14ac:dyDescent="0.25"/>
  <cols>
    <col min="1" max="1" width="3.42578125" style="1" customWidth="1"/>
    <col min="2" max="2" width="14.7109375" style="1" customWidth="1"/>
    <col min="3" max="3" width="18" style="1" customWidth="1"/>
    <col min="4" max="4" width="17.140625" style="1" customWidth="1"/>
    <col min="5" max="5" width="15.7109375" style="1" customWidth="1"/>
    <col min="6" max="6" width="16.570312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11.42578125" style="1" customWidth="1"/>
    <col min="16" max="16" width="15.28515625" style="1" hidden="1" customWidth="1"/>
    <col min="17" max="17" width="0" style="1" hidden="1" customWidth="1"/>
    <col min="18"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42"/>
      <c r="P7" s="142"/>
      <c r="Q7" s="142"/>
      <c r="R7" s="142"/>
      <c r="S7" s="142"/>
    </row>
    <row r="8" spans="2:19" ht="15" customHeight="1" x14ac:dyDescent="0.25">
      <c r="E8" s="65"/>
      <c r="F8" s="65"/>
      <c r="G8" s="65"/>
      <c r="H8" s="65"/>
      <c r="I8" s="65"/>
      <c r="J8" s="65"/>
      <c r="K8" s="65"/>
      <c r="L8" s="65"/>
      <c r="M8" s="65"/>
      <c r="O8" s="142"/>
      <c r="P8" s="142"/>
      <c r="Q8" s="142"/>
      <c r="R8" s="142"/>
      <c r="S8" s="142"/>
    </row>
    <row r="9" spans="2:19" ht="18.75" customHeight="1" x14ac:dyDescent="0.35">
      <c r="E9" s="65"/>
      <c r="F9" s="65"/>
      <c r="G9" s="66"/>
      <c r="I9" s="65"/>
      <c r="J9" s="65"/>
      <c r="K9" s="65"/>
      <c r="L9" s="65"/>
      <c r="M9" s="65"/>
      <c r="O9" s="142"/>
      <c r="P9" s="142"/>
      <c r="Q9" s="142"/>
      <c r="R9" s="142"/>
      <c r="S9" s="142"/>
    </row>
    <row r="10" spans="2:19" ht="26.25" customHeight="1" x14ac:dyDescent="0.35">
      <c r="E10" s="65"/>
      <c r="G10" s="66"/>
      <c r="H10" s="66"/>
      <c r="I10" s="66"/>
      <c r="J10" s="66"/>
      <c r="L10" s="65"/>
      <c r="M10" s="65"/>
      <c r="O10" s="142"/>
      <c r="P10" s="142"/>
      <c r="Q10" s="142"/>
      <c r="R10" s="142"/>
      <c r="S10" s="142"/>
    </row>
    <row r="11" spans="2:19" ht="16.5" customHeight="1" x14ac:dyDescent="0.35">
      <c r="B11" s="148" t="str">
        <f>+B22</f>
        <v>Letras del Tesoro Clase 8 Adicionales</v>
      </c>
      <c r="C11" s="149"/>
      <c r="D11" s="72">
        <v>100</v>
      </c>
      <c r="E11" s="65"/>
      <c r="F11" s="65"/>
      <c r="G11" s="69"/>
      <c r="H11" s="69"/>
      <c r="I11" s="69"/>
      <c r="J11" s="69"/>
      <c r="L11" s="65"/>
      <c r="M11" s="65"/>
      <c r="O11" s="142"/>
      <c r="P11" s="142"/>
      <c r="Q11" s="142"/>
      <c r="R11" s="142"/>
      <c r="S11" s="142"/>
    </row>
    <row r="12" spans="2:19" ht="18" customHeight="1" x14ac:dyDescent="0.25">
      <c r="B12" s="15" t="s">
        <v>38</v>
      </c>
      <c r="C12" s="16"/>
      <c r="D12" s="88">
        <f>+Resumen!N17</f>
        <v>0.05</v>
      </c>
      <c r="E12" s="6"/>
      <c r="I12" s="58"/>
      <c r="J12" s="58"/>
      <c r="K12" s="58"/>
      <c r="L12" s="58"/>
      <c r="M12" s="58"/>
      <c r="O12" s="142"/>
      <c r="P12" s="142"/>
      <c r="Q12" s="142"/>
      <c r="R12" s="142"/>
      <c r="S12" s="142"/>
    </row>
    <row r="13" spans="2:19" ht="18" customHeight="1" x14ac:dyDescent="0.25">
      <c r="B13" s="15" t="s">
        <v>52</v>
      </c>
      <c r="C13" s="16"/>
      <c r="D13" s="88">
        <v>0.33103298611111115</v>
      </c>
      <c r="E13" s="6"/>
      <c r="I13" s="58"/>
      <c r="J13" s="58"/>
      <c r="K13" s="58"/>
      <c r="L13" s="58"/>
      <c r="M13" s="58"/>
      <c r="O13" s="79"/>
      <c r="P13" s="79"/>
      <c r="Q13" s="79"/>
      <c r="R13" s="79"/>
      <c r="S13" s="79"/>
    </row>
    <row r="14" spans="2:19" ht="18" customHeight="1" x14ac:dyDescent="0.25">
      <c r="B14" s="15" t="s">
        <v>34</v>
      </c>
      <c r="C14" s="16"/>
      <c r="D14" s="88">
        <f>+D12+D13</f>
        <v>0.38103298611111114</v>
      </c>
      <c r="E14" s="6"/>
      <c r="I14" s="58"/>
      <c r="J14" s="58"/>
      <c r="K14" s="58"/>
      <c r="L14" s="58"/>
      <c r="M14" s="58"/>
      <c r="O14" s="79"/>
      <c r="P14" s="79"/>
      <c r="Q14" s="79"/>
      <c r="R14" s="79"/>
      <c r="S14" s="79"/>
    </row>
    <row r="15" spans="2:19" ht="15" customHeight="1" x14ac:dyDescent="0.25">
      <c r="B15" s="70" t="s">
        <v>25</v>
      </c>
      <c r="C15" s="16"/>
      <c r="D15" s="93">
        <f>+Resumen!N18</f>
        <v>1.0274294222276092</v>
      </c>
      <c r="E15" s="6"/>
      <c r="J15" s="62"/>
      <c r="K15" s="58"/>
      <c r="L15" s="8"/>
    </row>
    <row r="16" spans="2:19" ht="15" customHeight="1" x14ac:dyDescent="0.25">
      <c r="B16" s="15" t="s">
        <v>20</v>
      </c>
      <c r="C16" s="16"/>
      <c r="D16" s="63">
        <f>+Resumen!N14</f>
        <v>210</v>
      </c>
      <c r="E16" s="6"/>
      <c r="F16" s="10" t="s">
        <v>0</v>
      </c>
      <c r="G16" s="11"/>
      <c r="H16" s="12">
        <f>M27</f>
        <v>0.40952164530754098</v>
      </c>
      <c r="J16" s="62"/>
      <c r="K16" s="58"/>
      <c r="L16" s="8"/>
    </row>
    <row r="17" spans="2:18" ht="15" customHeight="1" x14ac:dyDescent="0.25">
      <c r="B17" s="15" t="s">
        <v>29</v>
      </c>
      <c r="C17" s="16"/>
      <c r="D17" s="63">
        <f>+Resumen!N15</f>
        <v>182</v>
      </c>
      <c r="E17" s="6"/>
      <c r="F17" s="18" t="s">
        <v>12</v>
      </c>
      <c r="G17" s="19"/>
      <c r="H17" s="20">
        <f>+((1+H16)^(D17/D18)-1)/D17*D18</f>
        <v>0.37437499531002816</v>
      </c>
      <c r="J17" s="96"/>
      <c r="K17" s="58"/>
      <c r="L17" s="97"/>
    </row>
    <row r="18" spans="2:18" ht="15" customHeight="1" x14ac:dyDescent="0.25">
      <c r="B18" s="15" t="s">
        <v>1</v>
      </c>
      <c r="C18" s="16"/>
      <c r="D18" s="17">
        <v>365</v>
      </c>
      <c r="E18" s="9"/>
      <c r="F18" s="21" t="s">
        <v>2</v>
      </c>
      <c r="G18" s="6"/>
      <c r="H18" s="22">
        <f>+M26</f>
        <v>0.49863013698630143</v>
      </c>
      <c r="I18" s="7"/>
      <c r="J18" s="95"/>
      <c r="K18" s="58"/>
      <c r="L18" s="13"/>
      <c r="M18" s="14"/>
    </row>
    <row r="19" spans="2:18" ht="15" customHeight="1" x14ac:dyDescent="0.25">
      <c r="B19" s="15" t="s">
        <v>32</v>
      </c>
      <c r="C19" s="16"/>
      <c r="D19" s="74">
        <v>45793</v>
      </c>
      <c r="E19" s="9"/>
      <c r="F19" s="21" t="s">
        <v>3</v>
      </c>
      <c r="G19" s="6"/>
      <c r="H19" s="22">
        <f>+H18*12</f>
        <v>5.9835616438356176</v>
      </c>
      <c r="I19" s="7"/>
      <c r="J19" s="94"/>
      <c r="K19" s="58"/>
      <c r="L19" s="13"/>
      <c r="M19" s="14"/>
    </row>
    <row r="20" spans="2:18" ht="15" customHeight="1" x14ac:dyDescent="0.25">
      <c r="B20" s="75" t="s">
        <v>31</v>
      </c>
      <c r="C20" s="24"/>
      <c r="D20" s="76">
        <f>+Resumen!N12</f>
        <v>45821</v>
      </c>
      <c r="E20" s="9"/>
      <c r="F20" s="25" t="s">
        <v>11</v>
      </c>
      <c r="G20" s="26"/>
      <c r="H20" s="27">
        <f>H19/(1+H16)</f>
        <v>4.2451009275065621</v>
      </c>
      <c r="I20" s="7"/>
      <c r="J20" s="62"/>
      <c r="K20" s="58"/>
      <c r="L20" s="13"/>
      <c r="M20" s="14"/>
    </row>
    <row r="21" spans="2:18" ht="15" customHeight="1" x14ac:dyDescent="0.25">
      <c r="E21" s="9"/>
      <c r="I21" s="7"/>
      <c r="J21" s="64"/>
      <c r="K21" s="58"/>
      <c r="L21" s="13"/>
      <c r="M21" s="14"/>
    </row>
    <row r="22" spans="2:18" ht="18" customHeight="1" x14ac:dyDescent="0.25">
      <c r="B22" s="143" t="s">
        <v>42</v>
      </c>
      <c r="C22" s="144"/>
      <c r="D22" s="144"/>
      <c r="E22" s="144"/>
      <c r="F22" s="144"/>
      <c r="G22" s="144"/>
      <c r="H22" s="145"/>
      <c r="J22" s="143" t="s">
        <v>13</v>
      </c>
      <c r="K22" s="144"/>
      <c r="L22" s="144"/>
      <c r="M22" s="144"/>
    </row>
    <row r="23" spans="2:18" ht="30.75" customHeight="1" x14ac:dyDescent="0.25">
      <c r="B23" s="28" t="s">
        <v>4</v>
      </c>
      <c r="C23" s="29" t="s">
        <v>16</v>
      </c>
      <c r="D23" s="30" t="s">
        <v>5</v>
      </c>
      <c r="E23" s="30" t="s">
        <v>6</v>
      </c>
      <c r="F23" s="29" t="s">
        <v>7</v>
      </c>
      <c r="G23" s="30" t="s">
        <v>8</v>
      </c>
      <c r="H23" s="31" t="s">
        <v>9</v>
      </c>
      <c r="I23" s="32"/>
      <c r="J23" s="68">
        <f>D20</f>
        <v>45821</v>
      </c>
      <c r="K23" s="84">
        <f>-D11*D15</f>
        <v>-102.74294222276093</v>
      </c>
      <c r="L23" s="33" t="s">
        <v>10</v>
      </c>
      <c r="M23" s="34" t="s">
        <v>19</v>
      </c>
      <c r="O23" s="91">
        <v>0</v>
      </c>
      <c r="P23" s="1">
        <v>0</v>
      </c>
    </row>
    <row r="24" spans="2:18" ht="18" customHeight="1" x14ac:dyDescent="0.25">
      <c r="B24" s="60">
        <v>1</v>
      </c>
      <c r="C24" s="61">
        <f>+D20+D17</f>
        <v>46003</v>
      </c>
      <c r="D24" s="40">
        <f>+H24*$D$11</f>
        <v>100</v>
      </c>
      <c r="E24" s="101">
        <f>D11*$D$14/$D$18*(C24-D19)</f>
        <v>21.92244577625571</v>
      </c>
      <c r="F24" s="40">
        <f>+E24+D24</f>
        <v>121.92244577625571</v>
      </c>
      <c r="G24" s="40">
        <f>+D11-D24</f>
        <v>0</v>
      </c>
      <c r="H24" s="41">
        <v>1</v>
      </c>
      <c r="I24" s="35"/>
      <c r="J24" s="36">
        <f>+WORKDAY(C24-1,1,Feriados!$A$2:$A$162)</f>
        <v>46003</v>
      </c>
      <c r="K24" s="107">
        <f>+F24</f>
        <v>121.92244577625571</v>
      </c>
      <c r="L24" s="37">
        <f>+K24/((1+$H$16)^((J24-$J$23)/$D$18))</f>
        <v>102.74294242523486</v>
      </c>
      <c r="M24" s="38">
        <f>+L24*((J24-$J$23)/D$18)</f>
        <v>51.230727455870536</v>
      </c>
      <c r="O24" s="92">
        <f>+K24</f>
        <v>121.92244577625571</v>
      </c>
      <c r="P24" s="39">
        <f>+K24</f>
        <v>121.92244577625571</v>
      </c>
      <c r="Q24" s="39"/>
      <c r="R24" s="59"/>
    </row>
    <row r="25" spans="2:18" ht="18" customHeight="1" x14ac:dyDescent="0.25">
      <c r="B25" s="42"/>
      <c r="C25" s="42"/>
      <c r="D25" s="43">
        <f>SUM(D24:D24)</f>
        <v>100</v>
      </c>
      <c r="E25" s="43">
        <f>SUM(E24:E24)</f>
        <v>21.92244577625571</v>
      </c>
      <c r="F25" s="43">
        <f>SUM(F24:F24)</f>
        <v>121.92244577625571</v>
      </c>
      <c r="G25" s="44"/>
      <c r="H25" s="45">
        <f>SUM(H24:H24)</f>
        <v>1</v>
      </c>
      <c r="I25" s="46"/>
      <c r="J25" s="47"/>
      <c r="K25" s="48"/>
      <c r="L25" s="49">
        <f>SUM(L24:L24)</f>
        <v>102.74294242523486</v>
      </c>
      <c r="M25" s="50">
        <f>SUM(M24:M24)</f>
        <v>51.230727455870536</v>
      </c>
      <c r="Q25" s="39"/>
    </row>
    <row r="26" spans="2:18" ht="18" customHeight="1" x14ac:dyDescent="0.25">
      <c r="C26" s="51"/>
      <c r="D26" s="5"/>
      <c r="K26" s="52" t="s">
        <v>2</v>
      </c>
      <c r="L26" s="53"/>
      <c r="M26" s="54">
        <f>+M25/L25</f>
        <v>0.49863013698630143</v>
      </c>
      <c r="Q26" s="55"/>
    </row>
    <row r="27" spans="2:18" ht="18" customHeight="1" x14ac:dyDescent="0.25">
      <c r="K27" s="52" t="s">
        <v>0</v>
      </c>
      <c r="L27" s="53"/>
      <c r="M27" s="57">
        <f>XIRR(K23:K24,J23:J24)</f>
        <v>0.40952164530754098</v>
      </c>
    </row>
    <row r="28" spans="2:18" ht="15" customHeight="1" x14ac:dyDescent="0.25">
      <c r="C28" s="56"/>
      <c r="D28" s="5"/>
      <c r="E28" s="23"/>
    </row>
    <row r="29" spans="2:18" ht="15" customHeight="1" x14ac:dyDescent="0.25">
      <c r="B29" s="138" t="s">
        <v>17</v>
      </c>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x14ac:dyDescent="0.25">
      <c r="B31" s="138"/>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ht="15" customHeight="1" x14ac:dyDescent="0.25">
      <c r="B33" s="138" t="s">
        <v>18</v>
      </c>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B37" s="138"/>
      <c r="C37" s="138"/>
      <c r="D37" s="138"/>
      <c r="E37" s="138"/>
      <c r="F37" s="138"/>
      <c r="G37" s="138"/>
      <c r="H37" s="138"/>
      <c r="I37" s="138"/>
      <c r="J37" s="138"/>
      <c r="K37" s="138"/>
      <c r="L37" s="138"/>
      <c r="M37" s="138"/>
    </row>
    <row r="38" spans="2:13" x14ac:dyDescent="0.25">
      <c r="B38" s="138"/>
      <c r="C38" s="138"/>
      <c r="D38" s="138"/>
      <c r="E38" s="138"/>
      <c r="F38" s="138"/>
      <c r="G38" s="138"/>
      <c r="H38" s="138"/>
      <c r="I38" s="138"/>
      <c r="J38" s="138"/>
      <c r="K38" s="138"/>
      <c r="L38" s="138"/>
      <c r="M38" s="138"/>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row r="251" spans="4:4" x14ac:dyDescent="0.25">
      <c r="D251" s="5"/>
    </row>
  </sheetData>
  <sheetProtection sheet="1" selectLockedCells="1"/>
  <mergeCells count="6">
    <mergeCell ref="O7:S12"/>
    <mergeCell ref="B22:H22"/>
    <mergeCell ref="J22:M22"/>
    <mergeCell ref="B29:M32"/>
    <mergeCell ref="B33:M38"/>
    <mergeCell ref="B11: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B1:S250"/>
  <sheetViews>
    <sheetView showGridLines="0" topLeftCell="A7"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42"/>
      <c r="P7" s="142"/>
      <c r="Q7" s="142"/>
      <c r="R7" s="142"/>
      <c r="S7" s="142"/>
    </row>
    <row r="8" spans="2:19" ht="15" customHeight="1" x14ac:dyDescent="0.25">
      <c r="E8" s="65"/>
      <c r="F8" s="65"/>
      <c r="G8" s="65"/>
      <c r="H8" s="65"/>
      <c r="I8" s="65"/>
      <c r="J8" s="65"/>
      <c r="K8" s="65"/>
      <c r="L8" s="65"/>
      <c r="M8" s="65"/>
      <c r="O8" s="142"/>
      <c r="P8" s="142"/>
      <c r="Q8" s="142"/>
      <c r="R8" s="142"/>
      <c r="S8" s="142"/>
    </row>
    <row r="9" spans="2:19" ht="18.75" customHeight="1" x14ac:dyDescent="0.35">
      <c r="E9" s="65"/>
      <c r="F9" s="65"/>
      <c r="G9" s="66"/>
      <c r="I9" s="65"/>
      <c r="J9" s="65"/>
      <c r="K9" s="65"/>
      <c r="L9" s="65"/>
      <c r="M9" s="65"/>
      <c r="O9" s="142"/>
      <c r="P9" s="142"/>
      <c r="Q9" s="142"/>
      <c r="R9" s="142"/>
      <c r="S9" s="142"/>
    </row>
    <row r="10" spans="2:19" ht="26.25" customHeight="1" x14ac:dyDescent="0.35">
      <c r="E10" s="65"/>
      <c r="G10" s="66"/>
      <c r="H10" s="66"/>
      <c r="I10" s="66"/>
      <c r="J10" s="66"/>
      <c r="L10" s="65"/>
      <c r="M10" s="65"/>
      <c r="O10" s="142"/>
      <c r="P10" s="142"/>
      <c r="Q10" s="142"/>
      <c r="R10" s="142"/>
      <c r="S10" s="142"/>
    </row>
    <row r="11" spans="2:19" ht="14.25" customHeight="1" x14ac:dyDescent="0.35">
      <c r="E11" s="65"/>
      <c r="F11" s="65"/>
      <c r="G11" s="69"/>
      <c r="H11" s="69"/>
      <c r="I11" s="69"/>
      <c r="J11" s="69"/>
      <c r="L11" s="65"/>
      <c r="M11" s="65"/>
      <c r="O11" s="142"/>
      <c r="P11" s="142"/>
      <c r="Q11" s="142"/>
      <c r="R11" s="142"/>
      <c r="S11" s="142"/>
    </row>
    <row r="12" spans="2:19" ht="18" customHeight="1" x14ac:dyDescent="0.25">
      <c r="B12" s="146" t="str">
        <f>+B21</f>
        <v>Letras del Tesoro Clase 10</v>
      </c>
      <c r="C12" s="147"/>
      <c r="D12" s="72">
        <v>10000</v>
      </c>
      <c r="E12" s="6"/>
      <c r="I12" s="58"/>
      <c r="J12" s="58"/>
      <c r="K12" s="58"/>
      <c r="L12" s="58"/>
      <c r="M12" s="58"/>
      <c r="O12" s="142"/>
      <c r="P12" s="142"/>
      <c r="Q12" s="142"/>
      <c r="R12" s="142"/>
      <c r="S12" s="142"/>
    </row>
    <row r="13" spans="2:19" ht="18" customHeight="1" x14ac:dyDescent="0.25">
      <c r="B13" s="15" t="s">
        <v>35</v>
      </c>
      <c r="C13" s="81"/>
      <c r="D13" s="86">
        <f>+Resumen!Q23</f>
        <v>0.32937499999999997</v>
      </c>
      <c r="E13" s="6"/>
      <c r="I13" s="58"/>
      <c r="J13" s="58"/>
      <c r="K13" s="58"/>
      <c r="L13" s="58"/>
      <c r="M13" s="58"/>
      <c r="O13" s="79"/>
      <c r="P13" s="79"/>
      <c r="Q13" s="79"/>
      <c r="R13" s="79"/>
      <c r="S13" s="79"/>
    </row>
    <row r="14" spans="2:19" ht="18" customHeight="1" x14ac:dyDescent="0.25">
      <c r="B14" s="70" t="s">
        <v>36</v>
      </c>
      <c r="C14" s="80"/>
      <c r="D14" s="87">
        <f>+Resumen!Q18</f>
        <v>0.05</v>
      </c>
      <c r="E14" s="6"/>
      <c r="I14" s="58"/>
      <c r="J14" s="58"/>
      <c r="K14" s="58"/>
      <c r="L14" s="58"/>
      <c r="M14" s="58"/>
      <c r="O14" s="79"/>
      <c r="P14" s="79"/>
      <c r="Q14" s="79"/>
      <c r="R14" s="79"/>
      <c r="S14" s="79"/>
    </row>
    <row r="15" spans="2:19" ht="15" customHeight="1" x14ac:dyDescent="0.25">
      <c r="B15" s="15" t="s">
        <v>15</v>
      </c>
      <c r="C15" s="16"/>
      <c r="D15" s="88">
        <f>+D14+D13</f>
        <v>0.37937499999999996</v>
      </c>
      <c r="E15" s="6"/>
      <c r="F15" s="10" t="s">
        <v>0</v>
      </c>
      <c r="G15" s="11"/>
      <c r="H15" s="12">
        <f>M26</f>
        <v>0.37955119013786309</v>
      </c>
      <c r="J15" s="62"/>
      <c r="K15" s="58"/>
      <c r="L15" s="8"/>
    </row>
    <row r="16" spans="2:19" ht="15" customHeight="1" x14ac:dyDescent="0.25">
      <c r="B16" s="15" t="s">
        <v>25</v>
      </c>
      <c r="C16" s="16"/>
      <c r="D16" s="89">
        <v>1</v>
      </c>
      <c r="E16" s="6"/>
      <c r="F16" s="18" t="s">
        <v>12</v>
      </c>
      <c r="G16" s="19"/>
      <c r="H16" s="20">
        <f>+((1+H15)^(D17/D18)-1)/D17*D18</f>
        <v>0.37937499464998947</v>
      </c>
      <c r="J16" s="62"/>
      <c r="K16" s="58"/>
      <c r="L16" s="8"/>
    </row>
    <row r="17" spans="2:18" ht="15" customHeight="1" x14ac:dyDescent="0.25">
      <c r="B17" s="15" t="s">
        <v>20</v>
      </c>
      <c r="C17" s="16"/>
      <c r="D17" s="63">
        <f>+Resumen!Q14</f>
        <v>364</v>
      </c>
      <c r="E17" s="6"/>
      <c r="F17" s="21" t="s">
        <v>2</v>
      </c>
      <c r="G17" s="6"/>
      <c r="H17" s="22">
        <f>+M25</f>
        <v>0.99726027397260286</v>
      </c>
      <c r="J17" s="62"/>
      <c r="K17" s="58"/>
      <c r="L17" s="8"/>
    </row>
    <row r="18" spans="2:18" ht="15" customHeight="1" x14ac:dyDescent="0.25">
      <c r="B18" s="15" t="s">
        <v>1</v>
      </c>
      <c r="C18" s="16"/>
      <c r="D18" s="17">
        <v>365</v>
      </c>
      <c r="E18" s="9"/>
      <c r="F18" s="21" t="s">
        <v>3</v>
      </c>
      <c r="G18" s="6"/>
      <c r="H18" s="22">
        <f>+H17*12</f>
        <v>11.967123287671235</v>
      </c>
      <c r="I18" s="7"/>
      <c r="J18" s="62"/>
      <c r="K18" s="58"/>
      <c r="L18" s="13"/>
      <c r="M18" s="14"/>
    </row>
    <row r="19" spans="2:18" ht="15" customHeight="1" x14ac:dyDescent="0.25">
      <c r="B19" s="75" t="s">
        <v>14</v>
      </c>
      <c r="C19" s="24"/>
      <c r="D19" s="76">
        <f>+Resumen!Q12</f>
        <v>45821</v>
      </c>
      <c r="E19" s="9"/>
      <c r="F19" s="25" t="s">
        <v>11</v>
      </c>
      <c r="G19" s="26"/>
      <c r="H19" s="27">
        <f>H18/(1+H15)</f>
        <v>8.6746496782590015</v>
      </c>
      <c r="I19" s="7"/>
      <c r="J19" s="62"/>
      <c r="K19" s="58"/>
      <c r="L19" s="13"/>
      <c r="M19" s="14"/>
    </row>
    <row r="20" spans="2:18" ht="15" customHeight="1" x14ac:dyDescent="0.25">
      <c r="E20" s="9"/>
      <c r="I20" s="7"/>
      <c r="J20" s="64"/>
      <c r="K20" s="58"/>
      <c r="L20" s="13"/>
      <c r="M20" s="14"/>
    </row>
    <row r="21" spans="2:18" ht="18" customHeight="1" x14ac:dyDescent="0.25">
      <c r="B21" s="143" t="s">
        <v>43</v>
      </c>
      <c r="C21" s="144"/>
      <c r="D21" s="144"/>
      <c r="E21" s="144"/>
      <c r="F21" s="144"/>
      <c r="G21" s="144"/>
      <c r="H21" s="145"/>
      <c r="J21" s="143" t="s">
        <v>13</v>
      </c>
      <c r="K21" s="144"/>
      <c r="L21" s="144"/>
      <c r="M21" s="144"/>
    </row>
    <row r="22" spans="2:18" ht="30.75" customHeight="1" x14ac:dyDescent="0.25">
      <c r="B22" s="28" t="s">
        <v>4</v>
      </c>
      <c r="C22" s="29" t="s">
        <v>16</v>
      </c>
      <c r="D22" s="30" t="s">
        <v>5</v>
      </c>
      <c r="E22" s="30" t="s">
        <v>6</v>
      </c>
      <c r="F22" s="29" t="s">
        <v>7</v>
      </c>
      <c r="G22" s="30" t="s">
        <v>8</v>
      </c>
      <c r="H22" s="31" t="s">
        <v>9</v>
      </c>
      <c r="I22" s="32"/>
      <c r="J22" s="68">
        <f>+D19</f>
        <v>45821</v>
      </c>
      <c r="K22" s="84">
        <f>-D12*D16</f>
        <v>-10000</v>
      </c>
      <c r="L22" s="33" t="s">
        <v>10</v>
      </c>
      <c r="M22" s="34" t="s">
        <v>19</v>
      </c>
      <c r="O22" s="1">
        <v>0</v>
      </c>
    </row>
    <row r="23" spans="2:18" ht="18" customHeight="1" x14ac:dyDescent="0.25">
      <c r="B23" s="60">
        <v>1</v>
      </c>
      <c r="C23" s="61">
        <f>+D19+D17</f>
        <v>46185</v>
      </c>
      <c r="D23" s="40">
        <f>+H23*$D$12</f>
        <v>10000</v>
      </c>
      <c r="E23" s="40">
        <f>D12*$D$15/$D$18*(C23-D19)</f>
        <v>3783.3561643835615</v>
      </c>
      <c r="F23" s="40">
        <f>+E23+D23</f>
        <v>13783.356164383562</v>
      </c>
      <c r="G23" s="40">
        <f>+D12-D23</f>
        <v>0</v>
      </c>
      <c r="H23" s="41">
        <v>1</v>
      </c>
      <c r="I23" s="35"/>
      <c r="J23" s="36">
        <f>+WORKDAY(C23-1,1,Feriados!$A$2:$A$162)</f>
        <v>46185</v>
      </c>
      <c r="K23" s="85">
        <f>+F23</f>
        <v>13783.356164383562</v>
      </c>
      <c r="L23" s="37">
        <f>+K23/((1+$H$15)^((J23-$J$22)/$D$18))</f>
        <v>10000.000038708664</v>
      </c>
      <c r="M23" s="38">
        <f>+L23*((J23-$J$22)/D$18)</f>
        <v>9972.6027783286409</v>
      </c>
      <c r="O23" s="39">
        <f>+K23</f>
        <v>13783.356164383562</v>
      </c>
      <c r="P23" s="39"/>
      <c r="Q23" s="39"/>
      <c r="R23" s="59"/>
    </row>
    <row r="24" spans="2:18" ht="18" customHeight="1" x14ac:dyDescent="0.25">
      <c r="B24" s="42"/>
      <c r="C24" s="42"/>
      <c r="D24" s="43">
        <f>SUM(D23:D23)</f>
        <v>10000</v>
      </c>
      <c r="E24" s="43">
        <f>SUM(E23:E23)</f>
        <v>3783.3561643835615</v>
      </c>
      <c r="F24" s="43">
        <f>SUM(F23:F23)</f>
        <v>13783.356164383562</v>
      </c>
      <c r="G24" s="44"/>
      <c r="H24" s="45">
        <f>SUM(H23:H23)</f>
        <v>1</v>
      </c>
      <c r="I24" s="46"/>
      <c r="J24" s="47"/>
      <c r="K24" s="48"/>
      <c r="L24" s="49">
        <f>SUM(L23:L23)</f>
        <v>10000.000038708664</v>
      </c>
      <c r="M24" s="50">
        <f>SUM(M23:M23)</f>
        <v>9972.6027783286409</v>
      </c>
      <c r="Q24" s="39"/>
    </row>
    <row r="25" spans="2:18" ht="18" customHeight="1" x14ac:dyDescent="0.25">
      <c r="C25" s="51"/>
      <c r="D25" s="5"/>
      <c r="K25" s="52" t="s">
        <v>2</v>
      </c>
      <c r="L25" s="53"/>
      <c r="M25" s="54">
        <f>+M24/L24</f>
        <v>0.99726027397260286</v>
      </c>
      <c r="Q25" s="55"/>
    </row>
    <row r="26" spans="2:18" ht="18" customHeight="1" x14ac:dyDescent="0.25">
      <c r="C26" s="51"/>
      <c r="D26" s="5"/>
      <c r="K26" s="52" t="s">
        <v>0</v>
      </c>
      <c r="L26" s="53"/>
      <c r="M26" s="57">
        <f>XIRR(K22:K23,J22:J23)</f>
        <v>0.37955119013786309</v>
      </c>
    </row>
    <row r="27" spans="2:18" ht="15" customHeight="1" x14ac:dyDescent="0.25">
      <c r="C27" s="56"/>
      <c r="D27" s="5"/>
      <c r="E27" s="23"/>
    </row>
    <row r="28" spans="2:18" ht="15" customHeight="1" x14ac:dyDescent="0.25">
      <c r="B28" s="138" t="s">
        <v>17</v>
      </c>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x14ac:dyDescent="0.25">
      <c r="B31" s="138"/>
      <c r="C31" s="138"/>
      <c r="D31" s="138"/>
      <c r="E31" s="138"/>
      <c r="F31" s="138"/>
      <c r="G31" s="138"/>
      <c r="H31" s="138"/>
      <c r="I31" s="138"/>
      <c r="J31" s="138"/>
      <c r="K31" s="138"/>
      <c r="L31" s="138"/>
      <c r="M31" s="138"/>
    </row>
    <row r="32" spans="2:18" ht="15" customHeight="1" x14ac:dyDescent="0.25">
      <c r="B32" s="138" t="s">
        <v>18</v>
      </c>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B37" s="138"/>
      <c r="C37" s="138"/>
      <c r="D37" s="138"/>
      <c r="E37" s="138"/>
      <c r="F37" s="138"/>
      <c r="G37" s="138"/>
      <c r="H37" s="138"/>
      <c r="I37" s="138"/>
      <c r="J37" s="138"/>
      <c r="K37" s="138"/>
      <c r="L37" s="138"/>
      <c r="M37" s="138"/>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ignoredErrors>
    <ignoredError sqref="D1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CD-8A5C-4E6A-AEA6-89C07E8C763F}">
  <dimension ref="B1:S248"/>
  <sheetViews>
    <sheetView showGridLines="0" topLeftCell="A4"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42"/>
      <c r="P7" s="142"/>
      <c r="Q7" s="142"/>
      <c r="R7" s="142"/>
      <c r="S7" s="142"/>
    </row>
    <row r="8" spans="2:19" ht="15" customHeight="1" x14ac:dyDescent="0.25">
      <c r="E8" s="65"/>
      <c r="F8" s="65"/>
      <c r="G8" s="65"/>
      <c r="H8" s="65"/>
      <c r="I8" s="65"/>
      <c r="J8" s="65"/>
      <c r="K8" s="65"/>
      <c r="L8" s="65"/>
      <c r="M8" s="65"/>
      <c r="O8" s="142"/>
      <c r="P8" s="142"/>
      <c r="Q8" s="142"/>
      <c r="R8" s="142"/>
      <c r="S8" s="142"/>
    </row>
    <row r="9" spans="2:19" ht="18.75" customHeight="1" x14ac:dyDescent="0.35">
      <c r="E9" s="65"/>
      <c r="F9" s="65"/>
      <c r="G9" s="66"/>
      <c r="I9" s="65"/>
      <c r="J9" s="65"/>
      <c r="K9" s="65"/>
      <c r="L9" s="65"/>
      <c r="M9" s="65"/>
      <c r="O9" s="142"/>
      <c r="P9" s="142"/>
      <c r="Q9" s="142"/>
      <c r="R9" s="142"/>
      <c r="S9" s="142"/>
    </row>
    <row r="10" spans="2:19" ht="26.25" customHeight="1" x14ac:dyDescent="0.35">
      <c r="E10" s="65"/>
      <c r="G10" s="66"/>
      <c r="H10" s="66"/>
      <c r="I10" s="66"/>
      <c r="J10" s="66"/>
      <c r="L10" s="65"/>
      <c r="M10" s="65"/>
      <c r="O10" s="142"/>
      <c r="P10" s="142"/>
      <c r="Q10" s="142"/>
      <c r="R10" s="142"/>
      <c r="S10" s="142"/>
    </row>
    <row r="11" spans="2:19" ht="14.25" customHeight="1" x14ac:dyDescent="0.35">
      <c r="E11" s="65"/>
      <c r="F11" s="65"/>
      <c r="G11" s="69"/>
      <c r="H11" s="69"/>
      <c r="I11" s="69"/>
      <c r="J11" s="69"/>
      <c r="L11" s="65"/>
      <c r="M11" s="65"/>
      <c r="O11" s="142"/>
      <c r="P11" s="142"/>
      <c r="Q11" s="142"/>
      <c r="R11" s="142"/>
      <c r="S11" s="142"/>
    </row>
    <row r="12" spans="2:19" ht="18" customHeight="1" x14ac:dyDescent="0.25">
      <c r="B12" s="146" t="str">
        <f>+B19</f>
        <v>Letras del Tesoro Clase 11</v>
      </c>
      <c r="C12" s="147"/>
      <c r="D12" s="72">
        <v>10000</v>
      </c>
      <c r="E12" s="6"/>
      <c r="I12" s="58"/>
      <c r="J12" s="58"/>
      <c r="K12" s="58"/>
      <c r="L12" s="58"/>
      <c r="M12" s="58"/>
      <c r="O12" s="142"/>
      <c r="P12" s="142"/>
      <c r="Q12" s="142"/>
      <c r="R12" s="142"/>
      <c r="S12" s="142"/>
    </row>
    <row r="13" spans="2:19" ht="15" customHeight="1" x14ac:dyDescent="0.25">
      <c r="B13" s="15" t="s">
        <v>45</v>
      </c>
      <c r="C13" s="16"/>
      <c r="D13" s="88">
        <f>+Resumen!T18</f>
        <v>0.35</v>
      </c>
      <c r="E13" s="6"/>
      <c r="F13" s="10" t="s">
        <v>0</v>
      </c>
      <c r="G13" s="11"/>
      <c r="H13" s="12">
        <f>M24</f>
        <v>0.3987282574176787</v>
      </c>
      <c r="J13" s="62"/>
      <c r="K13" s="58"/>
      <c r="L13" s="8"/>
    </row>
    <row r="14" spans="2:19" ht="15" customHeight="1" x14ac:dyDescent="0.25">
      <c r="B14" s="15" t="s">
        <v>25</v>
      </c>
      <c r="C14" s="16"/>
      <c r="D14" s="89">
        <v>1</v>
      </c>
      <c r="E14" s="6"/>
      <c r="F14" s="18" t="s">
        <v>12</v>
      </c>
      <c r="G14" s="19"/>
      <c r="H14" s="20">
        <f>+((1+H13)^(D15/D16)-1)/D15*D16</f>
        <v>0.3499999962176662</v>
      </c>
      <c r="J14" s="62"/>
      <c r="K14" s="58"/>
      <c r="L14" s="8"/>
    </row>
    <row r="15" spans="2:19" ht="15" customHeight="1" x14ac:dyDescent="0.25">
      <c r="B15" s="15" t="s">
        <v>20</v>
      </c>
      <c r="C15" s="16"/>
      <c r="D15" s="63">
        <f>+Resumen!T14</f>
        <v>91</v>
      </c>
      <c r="E15" s="6"/>
      <c r="F15" s="21" t="s">
        <v>2</v>
      </c>
      <c r="G15" s="6"/>
      <c r="H15" s="22">
        <f>+M23</f>
        <v>0.24931506849315072</v>
      </c>
      <c r="J15" s="62"/>
      <c r="K15" s="58"/>
      <c r="L15" s="8"/>
    </row>
    <row r="16" spans="2:19" ht="15" customHeight="1" x14ac:dyDescent="0.25">
      <c r="B16" s="15" t="s">
        <v>1</v>
      </c>
      <c r="C16" s="16"/>
      <c r="D16" s="17">
        <v>365</v>
      </c>
      <c r="E16" s="9"/>
      <c r="F16" s="21" t="s">
        <v>3</v>
      </c>
      <c r="G16" s="6"/>
      <c r="H16" s="22">
        <f>+H15*12</f>
        <v>2.9917808219178088</v>
      </c>
      <c r="I16" s="7"/>
      <c r="J16" s="62"/>
      <c r="K16" s="58"/>
      <c r="L16" s="13"/>
      <c r="M16" s="14"/>
    </row>
    <row r="17" spans="2:18" ht="15" customHeight="1" x14ac:dyDescent="0.25">
      <c r="B17" s="75" t="s">
        <v>14</v>
      </c>
      <c r="C17" s="24"/>
      <c r="D17" s="76">
        <f>+Resumen!T12</f>
        <v>45821</v>
      </c>
      <c r="E17" s="9"/>
      <c r="F17" s="25" t="s">
        <v>11</v>
      </c>
      <c r="G17" s="26"/>
      <c r="H17" s="27">
        <f>H16/(1+H13)</f>
        <v>2.1389292781152585</v>
      </c>
      <c r="I17" s="7"/>
      <c r="J17" s="62"/>
      <c r="K17" s="58"/>
      <c r="L17" s="13"/>
      <c r="M17" s="14"/>
    </row>
    <row r="18" spans="2:18" ht="15" customHeight="1" x14ac:dyDescent="0.25">
      <c r="E18" s="9"/>
      <c r="I18" s="7"/>
      <c r="J18" s="64"/>
      <c r="K18" s="58"/>
      <c r="L18" s="13"/>
      <c r="M18" s="14"/>
    </row>
    <row r="19" spans="2:18" ht="18" customHeight="1" x14ac:dyDescent="0.25">
      <c r="B19" s="143" t="s">
        <v>44</v>
      </c>
      <c r="C19" s="144"/>
      <c r="D19" s="144"/>
      <c r="E19" s="144"/>
      <c r="F19" s="144"/>
      <c r="G19" s="144"/>
      <c r="H19" s="145"/>
      <c r="J19" s="143" t="s">
        <v>13</v>
      </c>
      <c r="K19" s="144"/>
      <c r="L19" s="144"/>
      <c r="M19" s="144"/>
    </row>
    <row r="20" spans="2:18" ht="30.75" customHeight="1" x14ac:dyDescent="0.25">
      <c r="B20" s="28" t="s">
        <v>4</v>
      </c>
      <c r="C20" s="29" t="s">
        <v>16</v>
      </c>
      <c r="D20" s="30" t="s">
        <v>5</v>
      </c>
      <c r="E20" s="30" t="s">
        <v>6</v>
      </c>
      <c r="F20" s="29" t="s">
        <v>7</v>
      </c>
      <c r="G20" s="30" t="s">
        <v>8</v>
      </c>
      <c r="H20" s="31" t="s">
        <v>9</v>
      </c>
      <c r="I20" s="32"/>
      <c r="J20" s="68">
        <f>+D17</f>
        <v>45821</v>
      </c>
      <c r="K20" s="84">
        <f>-D12*D14</f>
        <v>-10000</v>
      </c>
      <c r="L20" s="33" t="s">
        <v>10</v>
      </c>
      <c r="M20" s="34" t="s">
        <v>19</v>
      </c>
      <c r="O20" s="1">
        <v>0</v>
      </c>
    </row>
    <row r="21" spans="2:18" ht="18" customHeight="1" x14ac:dyDescent="0.25">
      <c r="B21" s="60">
        <v>1</v>
      </c>
      <c r="C21" s="61">
        <f>+D17+D15</f>
        <v>45912</v>
      </c>
      <c r="D21" s="40">
        <f>+H21*$D$12</f>
        <v>10000</v>
      </c>
      <c r="E21" s="40">
        <f>D12*$D$13/$D$16*(C21-D17)</f>
        <v>872.60273972602738</v>
      </c>
      <c r="F21" s="40">
        <f>+E21+D21</f>
        <v>10872.602739726028</v>
      </c>
      <c r="G21" s="40">
        <f>+D12-D21</f>
        <v>0</v>
      </c>
      <c r="H21" s="41">
        <v>1</v>
      </c>
      <c r="I21" s="35"/>
      <c r="J21" s="36">
        <f>+WORKDAY(C21-1,1,Feriados!A2:A162)</f>
        <v>45912</v>
      </c>
      <c r="K21" s="85">
        <f>+F21</f>
        <v>10872.602739726028</v>
      </c>
      <c r="L21" s="37">
        <f>+K21/((1+$H$13)^((J21-$J$20)/$D$16))</f>
        <v>10000.000008673111</v>
      </c>
      <c r="M21" s="38">
        <f>+L21*((J21-$J$20)/D$16)</f>
        <v>2493.1506870938442</v>
      </c>
      <c r="O21" s="39">
        <f>+K21</f>
        <v>10872.602739726028</v>
      </c>
      <c r="P21" s="39"/>
      <c r="Q21" s="39"/>
      <c r="R21" s="59"/>
    </row>
    <row r="22" spans="2:18" ht="18" customHeight="1" x14ac:dyDescent="0.25">
      <c r="B22" s="42"/>
      <c r="C22" s="42"/>
      <c r="D22" s="43">
        <f>SUM(D21:D21)</f>
        <v>10000</v>
      </c>
      <c r="E22" s="43">
        <f>SUM(E21:E21)</f>
        <v>872.60273972602738</v>
      </c>
      <c r="F22" s="43">
        <f>SUM(F21:F21)</f>
        <v>10872.602739726028</v>
      </c>
      <c r="G22" s="44"/>
      <c r="H22" s="45">
        <f>SUM(H21:H21)</f>
        <v>1</v>
      </c>
      <c r="I22" s="46"/>
      <c r="J22" s="47"/>
      <c r="K22" s="48"/>
      <c r="L22" s="49">
        <f>SUM(L21:L21)</f>
        <v>10000.000008673111</v>
      </c>
      <c r="M22" s="50">
        <f>SUM(M21:M21)</f>
        <v>2493.1506870938442</v>
      </c>
      <c r="Q22" s="39"/>
    </row>
    <row r="23" spans="2:18" ht="18" customHeight="1" x14ac:dyDescent="0.25">
      <c r="C23" s="51"/>
      <c r="D23" s="5"/>
      <c r="K23" s="52" t="s">
        <v>2</v>
      </c>
      <c r="L23" s="53"/>
      <c r="M23" s="54">
        <f>+M22/L22</f>
        <v>0.24931506849315072</v>
      </c>
      <c r="Q23" s="55"/>
    </row>
    <row r="24" spans="2:18" ht="18" customHeight="1" x14ac:dyDescent="0.25">
      <c r="C24" s="51"/>
      <c r="D24" s="5"/>
      <c r="K24" s="52" t="s">
        <v>0</v>
      </c>
      <c r="L24" s="53"/>
      <c r="M24" s="57">
        <f>XIRR(K20:K21,J20:J21)</f>
        <v>0.3987282574176787</v>
      </c>
    </row>
    <row r="25" spans="2:18" ht="15" customHeight="1" x14ac:dyDescent="0.25">
      <c r="C25" s="56"/>
      <c r="D25" s="5"/>
      <c r="E25" s="23"/>
    </row>
    <row r="26" spans="2:18" ht="15" customHeight="1" x14ac:dyDescent="0.25">
      <c r="B26" s="138" t="s">
        <v>17</v>
      </c>
      <c r="C26" s="138"/>
      <c r="D26" s="138"/>
      <c r="E26" s="138"/>
      <c r="F26" s="138"/>
      <c r="G26" s="138"/>
      <c r="H26" s="138"/>
      <c r="I26" s="138"/>
      <c r="J26" s="138"/>
      <c r="K26" s="138"/>
      <c r="L26" s="138"/>
      <c r="M26" s="138"/>
    </row>
    <row r="27" spans="2:18" x14ac:dyDescent="0.25">
      <c r="B27" s="138"/>
      <c r="C27" s="138"/>
      <c r="D27" s="138"/>
      <c r="E27" s="138"/>
      <c r="F27" s="138"/>
      <c r="G27" s="138"/>
      <c r="H27" s="138"/>
      <c r="I27" s="138"/>
      <c r="J27" s="138"/>
      <c r="K27" s="138"/>
      <c r="L27" s="138"/>
      <c r="M27" s="138"/>
    </row>
    <row r="28" spans="2:18" x14ac:dyDescent="0.25">
      <c r="B28" s="138"/>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ht="15" customHeight="1" x14ac:dyDescent="0.25">
      <c r="B30" s="138" t="s">
        <v>18</v>
      </c>
      <c r="C30" s="138"/>
      <c r="D30" s="138"/>
      <c r="E30" s="138"/>
      <c r="F30" s="138"/>
      <c r="G30" s="138"/>
      <c r="H30" s="138"/>
      <c r="I30" s="138"/>
      <c r="J30" s="138"/>
      <c r="K30" s="138"/>
      <c r="L30" s="138"/>
      <c r="M30" s="138"/>
    </row>
    <row r="31" spans="2:18" x14ac:dyDescent="0.25">
      <c r="B31" s="138"/>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D36" s="5"/>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sheetData>
  <sheetProtection sheet="1" selectLockedCells="1"/>
  <mergeCells count="6">
    <mergeCell ref="B30:M35"/>
    <mergeCell ref="O7:S12"/>
    <mergeCell ref="B12:C12"/>
    <mergeCell ref="B19:H19"/>
    <mergeCell ref="J19:M19"/>
    <mergeCell ref="B26:M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1"/>
  <sheetViews>
    <sheetView topLeftCell="A119" workbookViewId="0">
      <selection activeCell="G108" sqref="G108"/>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45886</v>
      </c>
    </row>
    <row r="76" spans="1:1" x14ac:dyDescent="0.2">
      <c r="A76" s="67">
        <v>45942</v>
      </c>
    </row>
    <row r="77" spans="1:1" x14ac:dyDescent="0.2">
      <c r="A77" s="67">
        <v>45985</v>
      </c>
    </row>
    <row r="78" spans="1:1" x14ac:dyDescent="0.2">
      <c r="A78" s="67">
        <v>45999</v>
      </c>
    </row>
    <row r="79" spans="1:1" x14ac:dyDescent="0.2">
      <c r="A79" s="67">
        <v>46016</v>
      </c>
    </row>
    <row r="80" spans="1:1" x14ac:dyDescent="0.2">
      <c r="A80" s="67">
        <v>46023</v>
      </c>
    </row>
    <row r="81" spans="1:1" x14ac:dyDescent="0.2">
      <c r="A81" s="67">
        <v>46069</v>
      </c>
    </row>
    <row r="82" spans="1:1" x14ac:dyDescent="0.2">
      <c r="A82" s="67">
        <v>46070</v>
      </c>
    </row>
    <row r="83" spans="1:1" x14ac:dyDescent="0.2">
      <c r="A83" s="67">
        <v>46105</v>
      </c>
    </row>
    <row r="84" spans="1:1" x14ac:dyDescent="0.2">
      <c r="A84" s="67">
        <v>46114</v>
      </c>
    </row>
    <row r="85" spans="1:1" x14ac:dyDescent="0.2">
      <c r="A85" s="67">
        <v>46115</v>
      </c>
    </row>
    <row r="86" spans="1:1" x14ac:dyDescent="0.2">
      <c r="A86" s="67">
        <v>46143</v>
      </c>
    </row>
    <row r="87" spans="1:1" x14ac:dyDescent="0.2">
      <c r="A87" s="67">
        <v>46167</v>
      </c>
    </row>
    <row r="88" spans="1:1" x14ac:dyDescent="0.2">
      <c r="A88" s="67">
        <v>46188</v>
      </c>
    </row>
    <row r="89" spans="1:1" x14ac:dyDescent="0.2">
      <c r="A89" s="67">
        <v>46193</v>
      </c>
    </row>
    <row r="90" spans="1:1" x14ac:dyDescent="0.2">
      <c r="A90" s="67">
        <v>46212</v>
      </c>
    </row>
    <row r="91" spans="1:1" x14ac:dyDescent="0.2">
      <c r="A91" s="67">
        <v>46251</v>
      </c>
    </row>
    <row r="92" spans="1:1" x14ac:dyDescent="0.2">
      <c r="A92" s="67">
        <v>46303</v>
      </c>
    </row>
    <row r="93" spans="1:1" x14ac:dyDescent="0.2">
      <c r="A93" s="67">
        <v>46349</v>
      </c>
    </row>
    <row r="94" spans="1:1" x14ac:dyDescent="0.2">
      <c r="A94" s="67">
        <v>46364</v>
      </c>
    </row>
    <row r="95" spans="1:1" x14ac:dyDescent="0.2">
      <c r="A95" s="67">
        <v>46381</v>
      </c>
    </row>
    <row r="96" spans="1:1" x14ac:dyDescent="0.2">
      <c r="A96" s="67">
        <v>46388</v>
      </c>
    </row>
    <row r="97" spans="1:1" x14ac:dyDescent="0.2">
      <c r="A97" s="67">
        <v>46426</v>
      </c>
    </row>
    <row r="98" spans="1:1" x14ac:dyDescent="0.2">
      <c r="A98" s="67">
        <v>46427</v>
      </c>
    </row>
    <row r="99" spans="1:1" x14ac:dyDescent="0.2">
      <c r="A99" s="67">
        <v>46470</v>
      </c>
    </row>
    <row r="100" spans="1:1" x14ac:dyDescent="0.2">
      <c r="A100" s="67">
        <v>46472</v>
      </c>
    </row>
    <row r="101" spans="1:1" x14ac:dyDescent="0.2">
      <c r="A101" s="67">
        <v>46479</v>
      </c>
    </row>
    <row r="102" spans="1:1" x14ac:dyDescent="0.2">
      <c r="A102" s="67">
        <v>46508</v>
      </c>
    </row>
    <row r="103" spans="1:1" x14ac:dyDescent="0.2">
      <c r="A103" s="67">
        <v>46532</v>
      </c>
    </row>
    <row r="104" spans="1:1" x14ac:dyDescent="0.2">
      <c r="A104" s="67">
        <v>46558</v>
      </c>
    </row>
    <row r="105" spans="1:1" x14ac:dyDescent="0.2">
      <c r="A105" s="67">
        <v>46559</v>
      </c>
    </row>
    <row r="106" spans="1:1" x14ac:dyDescent="0.2">
      <c r="A106" s="67">
        <v>46577</v>
      </c>
    </row>
    <row r="107" spans="1:1" x14ac:dyDescent="0.2">
      <c r="A107" s="67">
        <v>46615</v>
      </c>
    </row>
    <row r="108" spans="1:1" x14ac:dyDescent="0.2">
      <c r="A108" s="67">
        <v>46671</v>
      </c>
    </row>
    <row r="109" spans="1:1" x14ac:dyDescent="0.2">
      <c r="A109" s="67">
        <v>46711</v>
      </c>
    </row>
    <row r="110" spans="1:1" x14ac:dyDescent="0.2">
      <c r="A110" s="67">
        <v>46729</v>
      </c>
    </row>
    <row r="111" spans="1:1" x14ac:dyDescent="0.2">
      <c r="A111"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Clase 3 Reapertura</vt:lpstr>
      <vt:lpstr>Clase 8 Reapertura</vt:lpstr>
      <vt:lpstr>Clase 10</vt:lpstr>
      <vt:lpstr>Clase 11</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2025-06-11T15:01:56Z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